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<sst xmlns="http://schemas.openxmlformats.org/spreadsheetml/2006/main" count="126" uniqueCount="60">
  <si>
    <t>Год</t>
  </si>
  <si>
    <t>Скоростные</t>
  </si>
  <si>
    <t>Плацкартные</t>
  </si>
  <si>
    <t>Прочие</t>
  </si>
  <si>
    <t>Всего</t>
  </si>
  <si>
    <t>Затраты на приобретение оборудования, млн. долл.</t>
  </si>
  <si>
    <t>Затраты на ремонт оборудования, млн. долл.</t>
  </si>
  <si>
    <t>Прирост фонда оплаты труда основного производственного персонала, млн. долл.</t>
  </si>
  <si>
    <t>Прирост цеховых издержек, %</t>
  </si>
  <si>
    <t>Выручка от реализации, тыс. долл.</t>
  </si>
  <si>
    <t>Себестоимость продукции, тыс. долл.</t>
  </si>
  <si>
    <t>в т.ч.</t>
  </si>
  <si>
    <t>стоимость сырья и материалов</t>
  </si>
  <si>
    <t>амортизация</t>
  </si>
  <si>
    <t>затраты на НИОКР</t>
  </si>
  <si>
    <t>затраты на маркетинг</t>
  </si>
  <si>
    <t>налоги в себестоимости</t>
  </si>
  <si>
    <t>Налогооблагаемая прибыль, тыс. долл.</t>
  </si>
  <si>
    <t>Налог на прибыль, тыс. долл.</t>
  </si>
  <si>
    <t>Чистая прибыль (без учета затрат на покупку оборудования (тыс. долл.)</t>
  </si>
  <si>
    <t>Прибыль к распределению (с учетом затрат на покупку оборудования и за вычетом амортизации), тыс. долл.</t>
  </si>
  <si>
    <t>Накопленная прибыль, тыс. долл. (2003 - 2011 гг.)</t>
  </si>
  <si>
    <t>Суммарные затраты на покупку оборудования, тыс. долл.</t>
  </si>
  <si>
    <t>Скорост-ные</t>
  </si>
  <si>
    <t>Купейные, СВ с конд.</t>
  </si>
  <si>
    <t>Межобл-ые</t>
  </si>
  <si>
    <t>Таблица 2 - Затраты на приобретение оборудования, ремонт оборудования и зарплату, а также цеховые расходы изменяются в соответствии со следующим графиком</t>
  </si>
  <si>
    <t>Таблица 3 - Рост цеховых издержек составляет 50% от роста количества выпускаемой продукции. При экстенсивном варианте развития прирост цеховых издержек составит:</t>
  </si>
  <si>
    <t xml:space="preserve">Рост цен на продукцию составляет 11,1% в год. 
</t>
  </si>
  <si>
    <t>Финансовые результаты, полученные в ходе реализации экстенсивного варианта развития,  представлены в таблице 4,5,6.</t>
  </si>
  <si>
    <t xml:space="preserve">Вариант II :экстенсивный, приобретение оборудования за счет собственных средств, потенциальный объем продаж максимальный)
</t>
  </si>
  <si>
    <t xml:space="preserve">Были произведены расчеты для ситуации, когда осуществляются вложения в соответствии с экстенсивным путем развития, однако емкость рынка соответствует оптимистичному прогнозу. При этом рассчитывается размер прибыли, который мог быть дополнительно получен, если бы был выбран интенсивный план развития.
Финансовые результаты, получаемые в ходе реализации данного варианта развития идентичны варианту 1.1.                  Однако, может быть вычислен показатель, характеризующий упущенную выгоду из-за отклонения варианта интенсивного пути развития. 
</t>
  </si>
  <si>
    <t>Упущенная выгода = Накопленная прибыль при реализации интенсивного варианта развития - Прибыль, полученная от реализации экстенсивного варианта развития = 389 723 тыс. долларов при 13,3% ежегодном росте цены или 245 000 тыс. долларов при 12,2% годовом росте цены.</t>
  </si>
  <si>
    <t>Предполагается расширение существующего производства путем интенсивного увеличения мощностей, т.е. за счет приобретения новых технологий. При этом предполагается следующий график выпуска продукции:</t>
  </si>
  <si>
    <t>Купейные,СВ с конд.</t>
  </si>
  <si>
    <t>Рост цеховых издержек составляет 50% от роста количества выпускаемой продукции. При интенсивном варианте развития прирост цеховых издержек составит:</t>
  </si>
  <si>
    <t>Таблица 4 - Финансовые результаты реализации (варианта I)</t>
  </si>
  <si>
    <t>Таблица 5 - Затраты на приобретение оборудования</t>
  </si>
  <si>
    <t>Таблица 6 - Накопленная прибыль и суммарные затраты</t>
  </si>
  <si>
    <t>Таблица 7 - Интенсивный (вариант III)</t>
  </si>
  <si>
    <t xml:space="preserve">Таблица 8 - Затраты на приобретение оборудования, ремонт оборудования и зарплату, а также цеховые расходы </t>
  </si>
  <si>
    <t>Таблица 1 - Экстенсивный(вариант I)</t>
  </si>
  <si>
    <t>Таблица 9 - Рост цеховых издержек</t>
  </si>
  <si>
    <t>Для варианта были произведены расчеты при разных темпах изменения цены: 12,2% и 13,3% в год.</t>
  </si>
  <si>
    <t>Вариант  3.1(Интенсивный, рост цен составляет 12,2%)</t>
  </si>
  <si>
    <t>Таблица 10 - Финансовые результаты реализации варианта 2.1.</t>
  </si>
  <si>
    <t xml:space="preserve">Вариант 3.2 (Интенсивный, рост цен составляет 13,3%)  </t>
  </si>
  <si>
    <t>Таблица 11 - Финансовые результаты реализации варианта 2.2.</t>
  </si>
  <si>
    <t>Интенсивный, рост цен составляет 12,2%, объем продаж, соответствующий пессимистическому прогнозу</t>
  </si>
  <si>
    <t>Таблица 12 - Основные финансовые показатели реализации варианта</t>
  </si>
  <si>
    <t xml:space="preserve">Интенсивный, рост цен составляет 13,3%, приобретение оборудования 
за счет собственных средств, объем продаж, соответствующий пессимистическому прогнозу
</t>
  </si>
  <si>
    <t xml:space="preserve">Таблица 13 - Основные финансовые показатели реализации варианта </t>
  </si>
  <si>
    <t xml:space="preserve">Вариант 4 (Равномерный)
Предполагается расширение существующего производства либо с увеличением качества продукции, либо без повышения качества. При этом рассматривается реалистический прогноз объема продаж.
</t>
  </si>
  <si>
    <t>Таблица 14 - Реалистический прогноз объема продаж</t>
  </si>
  <si>
    <t xml:space="preserve">Варианты различаются в зависимости от  выбранного пути развития − экстенсивного или интенсивного.
Затраты на приобретение оборудования, ремонт оборудования и зарплату, а также цеховые расходы изменяются в соответствии с выбранным путем развития − экстенсивным или интенсивным − по следующим графикам:
</t>
  </si>
  <si>
    <t>Таблица 15 - Без повышения качества продукции</t>
  </si>
  <si>
    <t>Таблица 16 - С повышением качества продукции</t>
  </si>
  <si>
    <t>Рост цеховых издержек составляет 50% от роста количества выпускаемой продукции. При равномерном варианте развития прирост цеховых издержек составит:</t>
  </si>
  <si>
    <t>коэффициент домножения</t>
  </si>
  <si>
    <t xml:space="preserve">обоснование вариантов тактического и стратегического развития предприятия  на модельном и аналитическом уровнях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</si>
</sst>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000"/>
  </numFmts>
  <fonts count="40">
    <font>
      <sz val="10"/>
      <name val="Arial"/>
      <family val="0"/>
    </font>
    <font>
      <sz val="11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5.75"/>
      <color indexed="8"/>
      <name val="Arial CYR"/>
      <family val="2"/>
    </font>
    <font>
      <sz val="5.25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horizontal="justify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horizontal="left" vertical="justify" wrapText="1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3" fontId="0" fillId="0" borderId="0" xfId="0" applyNumberFormat="1" applyFont="1" applyBorder="1" applyAlignment="1">
      <alignment horizontal="justify"/>
    </xf>
    <xf numFmtId="3" fontId="0" fillId="0" borderId="10" xfId="0" applyNumberFormat="1" applyFont="1" applyBorder="1" applyAlignment="1">
      <alignment horizontal="centerContinuous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Continuous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justify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0" fillId="0" borderId="0" xfId="0" applyFont="1" applyAlignment="1">
      <alignment horizontal="lef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64"/>
          <c:w val="0.82075"/>
          <c:h val="0.87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Лист3!$A$7:$A$15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Лист3!$B$7:$B$15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Лист3!$C$7:$C$15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Лист3!$D$7:$D$15</c:f>
              <c:numCache/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Лист3!$E$7:$E$15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Лист3!$F$7:$F$15</c:f>
              <c:numCache/>
            </c:numRef>
          </c: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Лист3!$G$7:$G$15</c:f>
              <c:numCache/>
            </c:numRef>
          </c:val>
          <c:smooth val="0"/>
        </c:ser>
        <c:marker val="1"/>
        <c:axId val="19953853"/>
        <c:axId val="45366950"/>
      </c:line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950"/>
        <c:crosses val="autoZero"/>
        <c:auto val="1"/>
        <c:lblOffset val="100"/>
        <c:tickLblSkip val="1"/>
        <c:noMultiLvlLbl val="0"/>
      </c:catAx>
      <c:valAx>
        <c:axId val="45366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3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6675"/>
          <c:w val="0.1215"/>
          <c:h val="0.5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5</xdr:row>
      <xdr:rowOff>9525</xdr:rowOff>
    </xdr:from>
    <xdr:to>
      <xdr:col>14</xdr:col>
      <xdr:colOff>209550</xdr:colOff>
      <xdr:row>13</xdr:row>
      <xdr:rowOff>114300</xdr:rowOff>
    </xdr:to>
    <xdr:graphicFrame>
      <xdr:nvGraphicFramePr>
        <xdr:cNvPr id="1" name="Chart 4"/>
        <xdr:cNvGraphicFramePr/>
      </xdr:nvGraphicFramePr>
      <xdr:xfrm>
        <a:off x="5657850" y="819150"/>
        <a:ext cx="4238625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7"/>
  <sheetViews>
    <sheetView tabSelected="1" zoomScalePageLayoutView="0" workbookViewId="0" topLeftCell="A184">
      <selection activeCell="E5" sqref="E5"/>
    </sheetView>
  </sheetViews>
  <sheetFormatPr defaultColWidth="9.140625" defaultRowHeight="12.75"/>
  <cols>
    <col min="1" max="1" width="18.7109375" style="0" customWidth="1"/>
    <col min="2" max="2" width="10.8515625" style="0" customWidth="1"/>
    <col min="3" max="3" width="10.28125" style="0" bestFit="1" customWidth="1"/>
    <col min="4" max="4" width="12.57421875" style="0" customWidth="1"/>
    <col min="5" max="5" width="10.57421875" style="0" customWidth="1"/>
  </cols>
  <sheetData>
    <row r="1" spans="1:16" ht="12.75" customHeight="1">
      <c r="A1" s="46" t="s">
        <v>59</v>
      </c>
      <c r="B1" s="46"/>
      <c r="C1" s="46"/>
      <c r="D1" s="46"/>
      <c r="E1" s="46"/>
      <c r="F1" s="46"/>
      <c r="G1" s="46"/>
      <c r="H1" s="46"/>
      <c r="I1" s="3"/>
      <c r="J1" s="3"/>
      <c r="K1" s="3"/>
      <c r="L1" s="3"/>
      <c r="M1" s="3"/>
      <c r="N1" s="3"/>
      <c r="O1" s="3"/>
      <c r="P1" s="3"/>
    </row>
    <row r="2" spans="1:16" ht="12.75">
      <c r="A2" s="46"/>
      <c r="B2" s="46"/>
      <c r="C2" s="46"/>
      <c r="D2" s="46"/>
      <c r="E2" s="46"/>
      <c r="F2" s="46"/>
      <c r="G2" s="46"/>
      <c r="H2" s="46"/>
      <c r="I2" s="3"/>
      <c r="J2" s="3"/>
      <c r="K2" s="3"/>
      <c r="L2" s="3"/>
      <c r="M2" s="3"/>
      <c r="N2" s="3"/>
      <c r="O2" s="3"/>
      <c r="P2" s="3"/>
    </row>
    <row r="3" spans="1:16" ht="12.75">
      <c r="A3" s="3" t="s">
        <v>58</v>
      </c>
      <c r="B3" s="3">
        <v>0.87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6.25" customHeight="1">
      <c r="A6" s="4" t="s">
        <v>0</v>
      </c>
      <c r="B6" s="4" t="s">
        <v>1</v>
      </c>
      <c r="C6" s="4" t="s">
        <v>24</v>
      </c>
      <c r="D6" s="4" t="s">
        <v>2</v>
      </c>
      <c r="E6" s="4" t="s">
        <v>25</v>
      </c>
      <c r="F6" s="4" t="s">
        <v>3</v>
      </c>
      <c r="G6" s="4" t="s">
        <v>4</v>
      </c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5">
        <v>2003</v>
      </c>
      <c r="B7" s="6">
        <f>0.87*10</f>
        <v>8.7</v>
      </c>
      <c r="C7" s="6">
        <f>0.87*350</f>
        <v>304.5</v>
      </c>
      <c r="D7" s="6">
        <f>0.87*110</f>
        <v>95.7</v>
      </c>
      <c r="E7" s="6">
        <f>0.87*20</f>
        <v>17.4</v>
      </c>
      <c r="F7" s="6">
        <f>0.87*30</f>
        <v>26.1</v>
      </c>
      <c r="G7" s="6">
        <f>0.87*520</f>
        <v>452.4</v>
      </c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5">
        <v>2004</v>
      </c>
      <c r="B8" s="6">
        <f>0.87*10</f>
        <v>8.7</v>
      </c>
      <c r="C8" s="6">
        <f>0.87*350</f>
        <v>304.5</v>
      </c>
      <c r="D8" s="6">
        <f>0.87*140</f>
        <v>121.8</v>
      </c>
      <c r="E8" s="6">
        <f>0.87*20</f>
        <v>17.4</v>
      </c>
      <c r="F8" s="6">
        <f>0.87*30</f>
        <v>26.1</v>
      </c>
      <c r="G8" s="6">
        <f>0.87*550</f>
        <v>478.5</v>
      </c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5">
        <v>2005</v>
      </c>
      <c r="B9" s="6">
        <f>0.87*10</f>
        <v>8.7</v>
      </c>
      <c r="C9" s="6">
        <f>0.87*370</f>
        <v>321.9</v>
      </c>
      <c r="D9" s="6">
        <f>0.87*150</f>
        <v>130.5</v>
      </c>
      <c r="E9" s="6">
        <f>0.87*20</f>
        <v>17.4</v>
      </c>
      <c r="F9" s="6">
        <f aca="true" t="shared" si="0" ref="F9:F15">0.87*50</f>
        <v>43.5</v>
      </c>
      <c r="G9" s="6">
        <f>0.87*600</f>
        <v>522</v>
      </c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5">
        <v>2006</v>
      </c>
      <c r="B10" s="6">
        <f>0.87*20</f>
        <v>17.4</v>
      </c>
      <c r="C10" s="6">
        <f>0.87*450</f>
        <v>391.5</v>
      </c>
      <c r="D10" s="6">
        <f>0.87*150</f>
        <v>130.5</v>
      </c>
      <c r="E10" s="6">
        <f>0.87*30</f>
        <v>26.1</v>
      </c>
      <c r="F10" s="6">
        <f t="shared" si="0"/>
        <v>43.5</v>
      </c>
      <c r="G10" s="6">
        <f>0.87*700</f>
        <v>609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5">
        <v>2007</v>
      </c>
      <c r="B11" s="6">
        <f>0.87*20</f>
        <v>17.4</v>
      </c>
      <c r="C11" s="6">
        <f>0.87*500</f>
        <v>435</v>
      </c>
      <c r="D11" s="6">
        <f>0.87*200</f>
        <v>174</v>
      </c>
      <c r="E11" s="6">
        <f>0.87*30</f>
        <v>26.1</v>
      </c>
      <c r="F11" s="6">
        <f t="shared" si="0"/>
        <v>43.5</v>
      </c>
      <c r="G11" s="6">
        <f>0.87*800</f>
        <v>696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5">
        <v>2008</v>
      </c>
      <c r="B12" s="6">
        <f>0.87*30</f>
        <v>26.1</v>
      </c>
      <c r="C12" s="6">
        <f>0.87*540</f>
        <v>469.8</v>
      </c>
      <c r="D12" s="6">
        <f>0.87*200</f>
        <v>174</v>
      </c>
      <c r="E12" s="6">
        <f>0.87*30</f>
        <v>26.1</v>
      </c>
      <c r="F12" s="6">
        <f t="shared" si="0"/>
        <v>43.5</v>
      </c>
      <c r="G12" s="6">
        <f>0.87*850</f>
        <v>739.5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5">
        <v>2009</v>
      </c>
      <c r="B13" s="6">
        <f>0.87*30</f>
        <v>26.1</v>
      </c>
      <c r="C13" s="6">
        <f>0.87*580</f>
        <v>504.6</v>
      </c>
      <c r="D13" s="6">
        <f>0.87*210</f>
        <v>182.7</v>
      </c>
      <c r="E13" s="6">
        <f>0.87*30</f>
        <v>26.1</v>
      </c>
      <c r="F13" s="6">
        <f t="shared" si="0"/>
        <v>43.5</v>
      </c>
      <c r="G13" s="6">
        <f>0.87*900</f>
        <v>783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5">
        <v>2010</v>
      </c>
      <c r="B14" s="6">
        <f>0.87*40</f>
        <v>34.8</v>
      </c>
      <c r="C14" s="6">
        <f>0.87*650</f>
        <v>565.5</v>
      </c>
      <c r="D14" s="6">
        <f>0.87*230</f>
        <v>200.1</v>
      </c>
      <c r="E14" s="6">
        <f>0.87*30</f>
        <v>26.1</v>
      </c>
      <c r="F14" s="6">
        <f t="shared" si="0"/>
        <v>43.5</v>
      </c>
      <c r="G14" s="6">
        <f>0.87*1000</f>
        <v>870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5">
        <v>2011</v>
      </c>
      <c r="B15" s="6">
        <f>0.87*40</f>
        <v>34.8</v>
      </c>
      <c r="C15" s="6">
        <f>0.87*740</f>
        <v>643.8</v>
      </c>
      <c r="D15" s="6">
        <f>0.87*230</f>
        <v>200.1</v>
      </c>
      <c r="E15" s="6">
        <f>0.87*40</f>
        <v>34.8</v>
      </c>
      <c r="F15" s="6">
        <f t="shared" si="0"/>
        <v>43.5</v>
      </c>
      <c r="G15" s="6">
        <f>0.87*1100</f>
        <v>957</v>
      </c>
      <c r="H15" s="3"/>
      <c r="I15" s="2"/>
      <c r="J15" s="2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7"/>
      <c r="J16" s="7"/>
      <c r="K16" s="3"/>
      <c r="L16" s="3"/>
      <c r="M16" s="3"/>
      <c r="N16" s="3"/>
      <c r="O16" s="3"/>
      <c r="P16" s="3"/>
    </row>
    <row r="17" spans="1:16" ht="12.75" customHeight="1">
      <c r="A17" s="2" t="s">
        <v>26</v>
      </c>
      <c r="B17" s="2"/>
      <c r="C17" s="2"/>
      <c r="D17" s="2"/>
      <c r="E17" s="2"/>
      <c r="F17" s="2"/>
      <c r="G17" s="2"/>
      <c r="H17" s="2"/>
      <c r="I17" s="8">
        <v>2010</v>
      </c>
      <c r="J17" s="8">
        <v>2011</v>
      </c>
      <c r="K17" s="3"/>
      <c r="L17" s="3"/>
      <c r="M17" s="3"/>
      <c r="N17" s="3"/>
      <c r="O17" s="3"/>
      <c r="P17" s="3"/>
    </row>
    <row r="18" spans="1:16" ht="12.75">
      <c r="A18" s="7"/>
      <c r="B18" s="7"/>
      <c r="C18" s="7"/>
      <c r="D18" s="7"/>
      <c r="E18" s="7"/>
      <c r="F18" s="7"/>
      <c r="G18" s="7"/>
      <c r="H18" s="7"/>
      <c r="I18" s="27">
        <v>0</v>
      </c>
      <c r="J18" s="27">
        <v>0</v>
      </c>
      <c r="K18" s="3"/>
      <c r="L18" s="3"/>
      <c r="M18" s="3"/>
      <c r="N18" s="3"/>
      <c r="O18" s="3"/>
      <c r="P18" s="3"/>
    </row>
    <row r="19" spans="1:16" ht="12.75">
      <c r="A19" s="8" t="s">
        <v>0</v>
      </c>
      <c r="B19" s="8">
        <v>2003</v>
      </c>
      <c r="C19" s="8">
        <v>2004</v>
      </c>
      <c r="D19" s="8">
        <v>2005</v>
      </c>
      <c r="E19" s="8">
        <v>2006</v>
      </c>
      <c r="F19" s="8">
        <v>2007</v>
      </c>
      <c r="G19" s="8">
        <v>2008</v>
      </c>
      <c r="H19" s="8">
        <v>2009</v>
      </c>
      <c r="I19" s="26">
        <f>8.5*0.87</f>
        <v>7.395</v>
      </c>
      <c r="J19" s="26">
        <f>8.5*0.87</f>
        <v>7.395</v>
      </c>
      <c r="K19" s="3"/>
      <c r="L19" s="3"/>
      <c r="M19" s="3"/>
      <c r="N19" s="3"/>
      <c r="O19" s="3"/>
      <c r="P19" s="3"/>
    </row>
    <row r="20" spans="1:16" ht="52.5" customHeight="1">
      <c r="A20" s="9" t="s">
        <v>5</v>
      </c>
      <c r="B20" s="26">
        <f>0.87*1.9</f>
        <v>1.653</v>
      </c>
      <c r="C20" s="26">
        <f>0.87*1.9</f>
        <v>1.653</v>
      </c>
      <c r="D20" s="26">
        <f>0.87*1.9</f>
        <v>1.653</v>
      </c>
      <c r="E20" s="26">
        <f>0.87*1.9</f>
        <v>1.653</v>
      </c>
      <c r="F20" s="26">
        <f>0.87*1.9</f>
        <v>1.653</v>
      </c>
      <c r="G20" s="26">
        <f>0.87*1.8</f>
        <v>1.566</v>
      </c>
      <c r="H20" s="27">
        <v>0</v>
      </c>
      <c r="I20" s="26">
        <f>5.5*0.87</f>
        <v>4.785</v>
      </c>
      <c r="J20" s="26">
        <f>5.5*0.87</f>
        <v>4.785</v>
      </c>
      <c r="K20" s="3"/>
      <c r="L20" s="3"/>
      <c r="M20" s="3"/>
      <c r="N20" s="3"/>
      <c r="O20" s="3"/>
      <c r="P20" s="3"/>
    </row>
    <row r="21" spans="1:16" ht="39.75" customHeight="1">
      <c r="A21" s="9" t="s">
        <v>6</v>
      </c>
      <c r="B21" s="26">
        <f>0.87*5.4</f>
        <v>4.698</v>
      </c>
      <c r="C21" s="26">
        <f>0.87*5.4</f>
        <v>4.698</v>
      </c>
      <c r="D21" s="26">
        <f>0.87*5.4</f>
        <v>4.698</v>
      </c>
      <c r="E21" s="26">
        <f>0.87*5.4</f>
        <v>4.698</v>
      </c>
      <c r="F21" s="26">
        <f>0.87*5.4</f>
        <v>4.698</v>
      </c>
      <c r="G21" s="26">
        <f>8.5*0.87</f>
        <v>7.395</v>
      </c>
      <c r="H21" s="26">
        <f>8.5*0.87</f>
        <v>7.395</v>
      </c>
      <c r="I21" s="3"/>
      <c r="J21" s="3"/>
      <c r="K21" s="3"/>
      <c r="L21" s="3"/>
      <c r="M21" s="3"/>
      <c r="N21" s="3"/>
      <c r="O21" s="3"/>
      <c r="P21" s="3"/>
    </row>
    <row r="22" spans="1:16" ht="76.5">
      <c r="A22" s="9" t="s">
        <v>7</v>
      </c>
      <c r="B22" s="26">
        <f>4.4*0.87</f>
        <v>3.8280000000000003</v>
      </c>
      <c r="C22" s="26">
        <f>4.4*0.87</f>
        <v>3.8280000000000003</v>
      </c>
      <c r="D22" s="26">
        <f>4.4*0.87</f>
        <v>3.8280000000000003</v>
      </c>
      <c r="E22" s="26">
        <f>4.4*0.87</f>
        <v>3.8280000000000003</v>
      </c>
      <c r="F22" s="26">
        <f>4.4*0.87</f>
        <v>3.8280000000000003</v>
      </c>
      <c r="G22" s="26">
        <f>5.5*0.87</f>
        <v>4.785</v>
      </c>
      <c r="H22" s="26">
        <f>5.5*0.87</f>
        <v>4.785</v>
      </c>
      <c r="I22" s="2"/>
      <c r="J22" s="2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7"/>
      <c r="J23" s="7"/>
      <c r="K23" s="3"/>
      <c r="L23" s="3"/>
      <c r="M23" s="3"/>
      <c r="N23" s="3"/>
      <c r="O23" s="3"/>
      <c r="P23" s="3"/>
    </row>
    <row r="24" spans="1:16" ht="12.75" customHeight="1">
      <c r="A24" s="2" t="s">
        <v>27</v>
      </c>
      <c r="B24" s="2"/>
      <c r="C24" s="2"/>
      <c r="D24" s="2"/>
      <c r="E24" s="2"/>
      <c r="F24" s="2"/>
      <c r="G24" s="2"/>
      <c r="H24" s="2"/>
      <c r="I24" s="8">
        <v>2010</v>
      </c>
      <c r="J24" s="8">
        <v>2011</v>
      </c>
      <c r="K24" s="3"/>
      <c r="L24" s="3"/>
      <c r="M24" s="3"/>
      <c r="N24" s="3"/>
      <c r="O24" s="3"/>
      <c r="P24" s="3"/>
    </row>
    <row r="25" spans="1:16" ht="12.75">
      <c r="A25" s="7"/>
      <c r="B25" s="7"/>
      <c r="C25" s="7"/>
      <c r="D25" s="7"/>
      <c r="E25" s="7"/>
      <c r="F25" s="7"/>
      <c r="G25" s="7"/>
      <c r="H25" s="7"/>
      <c r="I25" s="11">
        <f>5.5*0.87</f>
        <v>4.785</v>
      </c>
      <c r="J25" s="11">
        <f>0.87*5</f>
        <v>4.35</v>
      </c>
      <c r="K25" s="3"/>
      <c r="L25" s="3"/>
      <c r="M25" s="3"/>
      <c r="N25" s="3"/>
      <c r="O25" s="3"/>
      <c r="P25" s="3"/>
    </row>
    <row r="26" spans="1:16" ht="12.75">
      <c r="A26" s="8" t="s">
        <v>0</v>
      </c>
      <c r="B26" s="8">
        <v>2003</v>
      </c>
      <c r="C26" s="8">
        <v>2004</v>
      </c>
      <c r="D26" s="8">
        <v>2005</v>
      </c>
      <c r="E26" s="8">
        <v>2006</v>
      </c>
      <c r="F26" s="8">
        <v>2007</v>
      </c>
      <c r="G26" s="8">
        <v>2008</v>
      </c>
      <c r="H26" s="8">
        <v>2009</v>
      </c>
      <c r="I26" s="3"/>
      <c r="J26" s="3"/>
      <c r="K26" s="3"/>
      <c r="L26" s="3"/>
      <c r="M26" s="3"/>
      <c r="N26" s="3"/>
      <c r="O26" s="3"/>
      <c r="P26" s="3"/>
    </row>
    <row r="27" spans="1:16" ht="25.5">
      <c r="A27" s="9" t="s">
        <v>8</v>
      </c>
      <c r="B27" s="11">
        <f>0.87*2</f>
        <v>1.74</v>
      </c>
      <c r="C27" s="11">
        <f>0.87*3</f>
        <v>2.61</v>
      </c>
      <c r="D27" s="11">
        <f>0.87*4.5</f>
        <v>3.915</v>
      </c>
      <c r="E27" s="11">
        <f>0.87*8</f>
        <v>6.96</v>
      </c>
      <c r="F27" s="11">
        <f>0.87*7</f>
        <v>6.09</v>
      </c>
      <c r="G27" s="11">
        <f>0.87*3</f>
        <v>2.61</v>
      </c>
      <c r="H27" s="11">
        <f>0.87*3</f>
        <v>2.61</v>
      </c>
      <c r="I27" s="12"/>
      <c r="J27" s="12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 customHeight="1">
      <c r="A29" s="12" t="s">
        <v>28</v>
      </c>
      <c r="B29" s="12"/>
      <c r="C29" s="12"/>
      <c r="D29" s="12"/>
      <c r="E29" s="12"/>
      <c r="F29" s="12"/>
      <c r="G29" s="12"/>
      <c r="H29" s="12"/>
      <c r="I29" s="3"/>
      <c r="J29" s="3"/>
      <c r="K29" s="3"/>
      <c r="L29" s="3"/>
      <c r="M29" s="3"/>
      <c r="N29" s="3"/>
      <c r="O29" s="3"/>
      <c r="P29" s="3"/>
    </row>
    <row r="30" spans="1:16" ht="12.75">
      <c r="A30" s="3" t="s">
        <v>29</v>
      </c>
      <c r="B30" s="3"/>
      <c r="C30" s="3"/>
      <c r="D30" s="3"/>
      <c r="E30" s="3"/>
      <c r="F30" s="3"/>
      <c r="G30" s="3"/>
      <c r="H30" s="3"/>
      <c r="I30" s="14"/>
      <c r="J30" s="14"/>
      <c r="K30" s="14"/>
      <c r="L30" s="15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5">
        <v>2009</v>
      </c>
      <c r="J31" s="5">
        <v>2010</v>
      </c>
      <c r="K31" s="41">
        <v>2011</v>
      </c>
      <c r="L31" s="41"/>
      <c r="M31" s="3"/>
      <c r="N31" s="3"/>
      <c r="O31" s="3"/>
      <c r="P31" s="3"/>
    </row>
    <row r="32" spans="1:16" ht="17.25" customHeight="1">
      <c r="A32" s="14" t="s">
        <v>36</v>
      </c>
      <c r="B32" s="14"/>
      <c r="C32" s="14"/>
      <c r="D32" s="14"/>
      <c r="E32" s="14"/>
      <c r="F32" s="14"/>
      <c r="G32" s="14"/>
      <c r="H32" s="14"/>
      <c r="I32" s="20">
        <f>0.87*263666</f>
        <v>229389.42</v>
      </c>
      <c r="J32" s="20">
        <f>0.87*297523</f>
        <v>258845.01</v>
      </c>
      <c r="K32" s="42">
        <f>0.87*325600</f>
        <v>283272</v>
      </c>
      <c r="L32" s="42"/>
      <c r="M32" s="3"/>
      <c r="N32" s="3"/>
      <c r="O32" s="3"/>
      <c r="P32" s="3"/>
    </row>
    <row r="33" spans="1:16" ht="12.75">
      <c r="A33" s="5" t="s">
        <v>0</v>
      </c>
      <c r="B33" s="5">
        <v>2002</v>
      </c>
      <c r="C33" s="5">
        <v>2003</v>
      </c>
      <c r="D33" s="5">
        <v>2004</v>
      </c>
      <c r="E33" s="5">
        <v>2005</v>
      </c>
      <c r="F33" s="5">
        <v>2006</v>
      </c>
      <c r="G33" s="5">
        <v>2007</v>
      </c>
      <c r="H33" s="5">
        <v>2008</v>
      </c>
      <c r="I33" s="20">
        <f>0.87*213642</f>
        <v>185868.54</v>
      </c>
      <c r="J33" s="20">
        <f>0.87*231232</f>
        <v>201171.84</v>
      </c>
      <c r="K33" s="42">
        <f>0.87*248719</f>
        <v>216385.53</v>
      </c>
      <c r="L33" s="42"/>
      <c r="M33" s="3"/>
      <c r="N33" s="3"/>
      <c r="O33" s="3"/>
      <c r="P33" s="3"/>
    </row>
    <row r="34" spans="1:16" ht="38.25">
      <c r="A34" s="5" t="s">
        <v>9</v>
      </c>
      <c r="B34" s="20">
        <f>0.87*150150</f>
        <v>130630.5</v>
      </c>
      <c r="C34" s="20">
        <f>0.87*150778</f>
        <v>131176.86</v>
      </c>
      <c r="D34" s="20">
        <f>0.87*156911</f>
        <v>136512.57</v>
      </c>
      <c r="E34" s="20">
        <f>0.87*169463</f>
        <v>147432.81</v>
      </c>
      <c r="F34" s="20">
        <f>0.87*202467</f>
        <v>176146.29</v>
      </c>
      <c r="G34" s="20">
        <f>0.87*227363</f>
        <v>197805.81</v>
      </c>
      <c r="H34" s="20">
        <f>0.87*247344</f>
        <v>215189.28</v>
      </c>
      <c r="I34" s="22"/>
      <c r="J34" s="22"/>
      <c r="K34" s="43"/>
      <c r="L34" s="43"/>
      <c r="M34" s="3"/>
      <c r="N34" s="3"/>
      <c r="O34" s="3"/>
      <c r="P34" s="3"/>
    </row>
    <row r="35" spans="1:16" ht="38.25">
      <c r="A35" s="5" t="s">
        <v>10</v>
      </c>
      <c r="B35" s="20">
        <f>0.87*126196</f>
        <v>109790.52</v>
      </c>
      <c r="C35" s="20">
        <f>0.87*135764</f>
        <v>118114.68</v>
      </c>
      <c r="D35" s="20">
        <f>0.87*143057</f>
        <v>124459.59</v>
      </c>
      <c r="E35" s="20">
        <f>0.87*153586</f>
        <v>133619.82</v>
      </c>
      <c r="F35" s="20">
        <f>0.87*173425</f>
        <v>150879.75</v>
      </c>
      <c r="G35" s="20">
        <f>0.87*192541</f>
        <v>167510.67</v>
      </c>
      <c r="H35" s="20">
        <f>0.87*205295</f>
        <v>178606.65</v>
      </c>
      <c r="I35" s="20">
        <f>0.87*150992</f>
        <v>131363.04</v>
      </c>
      <c r="J35" s="20">
        <f>0.87*167769</f>
        <v>145959.03</v>
      </c>
      <c r="K35" s="42">
        <f>0.87*184546</f>
        <v>160555.02</v>
      </c>
      <c r="L35" s="42"/>
      <c r="M35" s="3"/>
      <c r="N35" s="3"/>
      <c r="O35" s="3"/>
      <c r="P35" s="3"/>
    </row>
    <row r="36" spans="1:16" ht="12.75">
      <c r="A36" s="16" t="s">
        <v>11</v>
      </c>
      <c r="B36" s="22"/>
      <c r="C36" s="22"/>
      <c r="D36" s="22"/>
      <c r="E36" s="22"/>
      <c r="F36" s="22"/>
      <c r="G36" s="22"/>
      <c r="H36" s="22"/>
      <c r="I36" s="20">
        <f>0.87*3480</f>
        <v>3027.6</v>
      </c>
      <c r="J36" s="20">
        <f>0.87*3480</f>
        <v>3027.6</v>
      </c>
      <c r="K36" s="42">
        <f>0.87*3480</f>
        <v>3027.6</v>
      </c>
      <c r="L36" s="42"/>
      <c r="M36" s="3"/>
      <c r="N36" s="3"/>
      <c r="O36" s="3"/>
      <c r="P36" s="3"/>
    </row>
    <row r="37" spans="1:16" ht="25.5">
      <c r="A37" s="16" t="s">
        <v>12</v>
      </c>
      <c r="B37" s="20">
        <f>0.87*88460</f>
        <v>76960.2</v>
      </c>
      <c r="C37" s="20">
        <f>0.87*87240</f>
        <v>75898.8</v>
      </c>
      <c r="D37" s="20">
        <f>0.87*92273</f>
        <v>80277.51</v>
      </c>
      <c r="E37" s="20">
        <f>0.87*100661</f>
        <v>87575.06999999999</v>
      </c>
      <c r="F37" s="20">
        <f>0.87*117438</f>
        <v>102171.06</v>
      </c>
      <c r="G37" s="20">
        <f>0.87*134215</f>
        <v>116767.05</v>
      </c>
      <c r="H37" s="20">
        <f>0.87*142604</f>
        <v>124065.48</v>
      </c>
      <c r="I37" s="20">
        <f>0.87*1473</f>
        <v>1281.51</v>
      </c>
      <c r="J37" s="20">
        <f>0.87*1488</f>
        <v>1294.56</v>
      </c>
      <c r="K37" s="42">
        <f>0.87*1488</f>
        <v>1294.56</v>
      </c>
      <c r="L37" s="42"/>
      <c r="M37" s="3"/>
      <c r="N37" s="3"/>
      <c r="O37" s="3"/>
      <c r="P37" s="3"/>
    </row>
    <row r="38" spans="1:16" ht="12.75">
      <c r="A38" s="16" t="s">
        <v>13</v>
      </c>
      <c r="B38" s="22">
        <f>0.87*730</f>
        <v>635.1</v>
      </c>
      <c r="C38" s="22">
        <f>0.87*920</f>
        <v>800.4</v>
      </c>
      <c r="D38" s="20">
        <f>0.87*1110</f>
        <v>965.7</v>
      </c>
      <c r="E38" s="20">
        <f>0.87*1300</f>
        <v>1131</v>
      </c>
      <c r="F38" s="20">
        <f>0.87*1490</f>
        <v>1296.3</v>
      </c>
      <c r="G38" s="20">
        <f>0.87*1680</f>
        <v>1461.6</v>
      </c>
      <c r="H38" s="20">
        <f>0.87*3480</f>
        <v>3027.6</v>
      </c>
      <c r="I38" s="22">
        <f>0.87*133</f>
        <v>115.71</v>
      </c>
      <c r="J38" s="22">
        <f>0.87*126</f>
        <v>109.62</v>
      </c>
      <c r="K38" s="43">
        <f>0.87*105</f>
        <v>91.35</v>
      </c>
      <c r="L38" s="43"/>
      <c r="M38" s="3"/>
      <c r="N38" s="3"/>
      <c r="O38" s="3"/>
      <c r="P38" s="3"/>
    </row>
    <row r="39" spans="1:16" ht="25.5">
      <c r="A39" s="16" t="s">
        <v>14</v>
      </c>
      <c r="B39" s="20">
        <f>0.87*1682</f>
        <v>1463.34</v>
      </c>
      <c r="C39" s="20">
        <f>0.87*1508</f>
        <v>1311.96</v>
      </c>
      <c r="D39" s="20">
        <f>0.87*1450</f>
        <v>1261.5</v>
      </c>
      <c r="E39" s="20">
        <f>0.87*1438</f>
        <v>1251.06</v>
      </c>
      <c r="F39" s="20">
        <f>0.87*1525</f>
        <v>1326.75</v>
      </c>
      <c r="G39" s="20">
        <f>0.87*1584</f>
        <v>1378.08</v>
      </c>
      <c r="H39" s="20">
        <f>0.87*1530</f>
        <v>1331.1</v>
      </c>
      <c r="I39" s="20">
        <f>0.87*1138</f>
        <v>990.06</v>
      </c>
      <c r="J39" s="22">
        <f>0.87*892</f>
        <v>776.04</v>
      </c>
      <c r="K39" s="43">
        <f>0.87*798</f>
        <v>694.26</v>
      </c>
      <c r="L39" s="43"/>
      <c r="M39" s="3"/>
      <c r="N39" s="3"/>
      <c r="O39" s="3"/>
      <c r="P39" s="3"/>
    </row>
    <row r="40" spans="1:16" ht="25.5">
      <c r="A40" s="16" t="s">
        <v>15</v>
      </c>
      <c r="B40" s="22">
        <v>0</v>
      </c>
      <c r="C40" s="22">
        <f>0.87*460</f>
        <v>400.2</v>
      </c>
      <c r="D40" s="22">
        <f>0.87*336</f>
        <v>292.32</v>
      </c>
      <c r="E40" s="22">
        <f>0.87*172</f>
        <v>149.64</v>
      </c>
      <c r="F40" s="22">
        <f>0.87*259</f>
        <v>225.33</v>
      </c>
      <c r="G40" s="22">
        <f>0.87*212</f>
        <v>184.44</v>
      </c>
      <c r="H40" s="22">
        <f>0.87*165</f>
        <v>143.55</v>
      </c>
      <c r="I40" s="20">
        <f>0.87*50024</f>
        <v>43520.88</v>
      </c>
      <c r="J40" s="20">
        <f>0.87*66292</f>
        <v>57674.04</v>
      </c>
      <c r="K40" s="42">
        <f>0.87*76880</f>
        <v>66885.6</v>
      </c>
      <c r="L40" s="42"/>
      <c r="M40" s="3"/>
      <c r="N40" s="3"/>
      <c r="O40" s="3"/>
      <c r="P40" s="3"/>
    </row>
    <row r="41" spans="1:16" ht="25.5">
      <c r="A41" s="16" t="s">
        <v>16</v>
      </c>
      <c r="B41" s="22">
        <f>0.87*893</f>
        <v>776.91</v>
      </c>
      <c r="C41" s="22">
        <f>0.87*971</f>
        <v>844.77</v>
      </c>
      <c r="D41" s="22">
        <f>0.87*941</f>
        <v>818.67</v>
      </c>
      <c r="E41" s="22">
        <f>0.87*895</f>
        <v>778.65</v>
      </c>
      <c r="F41" s="22">
        <f>0.87*838</f>
        <v>729.06</v>
      </c>
      <c r="G41" s="22">
        <f>0.87*774</f>
        <v>673.38</v>
      </c>
      <c r="H41" s="20">
        <f>0.87*1425</f>
        <v>1239.75</v>
      </c>
      <c r="I41" s="20">
        <f>0.87*12006</f>
        <v>10445.22</v>
      </c>
      <c r="J41" s="20">
        <f>0.87*15910</f>
        <v>13841.7</v>
      </c>
      <c r="K41" s="42">
        <f>0.87*18451</f>
        <v>16052.37</v>
      </c>
      <c r="L41" s="42"/>
      <c r="M41" s="3"/>
      <c r="N41" s="3"/>
      <c r="O41" s="3"/>
      <c r="P41" s="3"/>
    </row>
    <row r="42" spans="1:16" ht="25.5">
      <c r="A42" s="5" t="s">
        <v>17</v>
      </c>
      <c r="B42" s="20">
        <f>0.87*23954</f>
        <v>20839.98</v>
      </c>
      <c r="C42" s="20">
        <f>0.87*15014</f>
        <v>13062.18</v>
      </c>
      <c r="D42" s="20">
        <f>0.87*13854</f>
        <v>12052.98</v>
      </c>
      <c r="E42" s="20">
        <f>0.87*15877</f>
        <v>13812.99</v>
      </c>
      <c r="F42" s="20">
        <f>0.87*29043</f>
        <v>25267.41</v>
      </c>
      <c r="G42" s="20">
        <f>0.87*34822</f>
        <v>30295.14</v>
      </c>
      <c r="H42" s="20">
        <f>0.87*42048</f>
        <v>36581.76</v>
      </c>
      <c r="I42" s="24">
        <f>0.87*38019</f>
        <v>33076.53</v>
      </c>
      <c r="J42" s="24">
        <f>0.87*50382</f>
        <v>43832.34</v>
      </c>
      <c r="K42" s="44">
        <f>0.87*58429</f>
        <v>50833.23</v>
      </c>
      <c r="L42" s="44"/>
      <c r="M42" s="3"/>
      <c r="N42" s="3"/>
      <c r="O42" s="3"/>
      <c r="P42" s="3"/>
    </row>
    <row r="43" spans="1:16" ht="25.5">
      <c r="A43" s="5" t="s">
        <v>18</v>
      </c>
      <c r="B43" s="20">
        <f>0.87*5749</f>
        <v>5001.63</v>
      </c>
      <c r="C43" s="20">
        <f>0.87*3603</f>
        <v>3134.61</v>
      </c>
      <c r="D43" s="20">
        <f>0.87*3325</f>
        <v>2892.75</v>
      </c>
      <c r="E43" s="20">
        <f>0.87*3810</f>
        <v>3314.7</v>
      </c>
      <c r="F43" s="20">
        <f>0.87*6970</f>
        <v>6063.9</v>
      </c>
      <c r="G43" s="20">
        <f>0.87*8357</f>
        <v>7270.59</v>
      </c>
      <c r="H43" s="20">
        <f>0.87*10092</f>
        <v>8780.039999999999</v>
      </c>
      <c r="I43" s="20">
        <f>0.87*41498</f>
        <v>36103.26</v>
      </c>
      <c r="J43" s="20">
        <f>0.87*53861</f>
        <v>46859.07</v>
      </c>
      <c r="K43" s="42">
        <f>0.87*61908</f>
        <v>53859.96</v>
      </c>
      <c r="L43" s="42"/>
      <c r="M43" s="3"/>
      <c r="N43" s="3"/>
      <c r="O43" s="3"/>
      <c r="P43" s="3"/>
    </row>
    <row r="44" spans="1:16" ht="63.75">
      <c r="A44" s="17" t="s">
        <v>19</v>
      </c>
      <c r="B44" s="24">
        <f>0.87*18205</f>
        <v>15838.35</v>
      </c>
      <c r="C44" s="24">
        <f>0.87*11411</f>
        <v>9927.57</v>
      </c>
      <c r="D44" s="24">
        <f>0.87*10529</f>
        <v>9160.23</v>
      </c>
      <c r="E44" s="24">
        <f>0.87*12066</f>
        <v>10497.42</v>
      </c>
      <c r="F44" s="24">
        <f>0.87*22072</f>
        <v>19202.64</v>
      </c>
      <c r="G44" s="24">
        <f>0.87*26465</f>
        <v>23024.55</v>
      </c>
      <c r="H44" s="24">
        <f>0.87*31957</f>
        <v>27802.59</v>
      </c>
      <c r="I44" s="19"/>
      <c r="J44" s="19"/>
      <c r="K44" s="19"/>
      <c r="L44" s="19"/>
      <c r="M44" s="3"/>
      <c r="N44" s="3"/>
      <c r="O44" s="3"/>
      <c r="P44" s="3"/>
    </row>
    <row r="45" spans="1:16" ht="102">
      <c r="A45" s="17" t="s">
        <v>20</v>
      </c>
      <c r="B45" s="20">
        <f>0.87*18935</f>
        <v>16473.45</v>
      </c>
      <c r="C45" s="20">
        <f>0.87*10431</f>
        <v>9074.97</v>
      </c>
      <c r="D45" s="20">
        <f>0.87*9739</f>
        <v>8472.93</v>
      </c>
      <c r="E45" s="20">
        <f>0.87*11466</f>
        <v>9975.42</v>
      </c>
      <c r="F45" s="20">
        <f>0.87*21662</f>
        <v>18845.94</v>
      </c>
      <c r="G45" s="20">
        <f>0.87*26244</f>
        <v>22832.28</v>
      </c>
      <c r="H45" s="20">
        <f>0.87*17436</f>
        <v>15169.32</v>
      </c>
      <c r="I45" s="3"/>
      <c r="J45" s="3"/>
      <c r="K45" s="3"/>
      <c r="L45" s="3"/>
      <c r="M45" s="3"/>
      <c r="N45" s="3"/>
      <c r="O45" s="3"/>
      <c r="P45" s="3"/>
    </row>
    <row r="46" spans="1:16" ht="12.75">
      <c r="A46" s="18"/>
      <c r="B46" s="19"/>
      <c r="C46" s="19"/>
      <c r="D46" s="19"/>
      <c r="E46" s="19"/>
      <c r="F46" s="19"/>
      <c r="G46" s="19"/>
      <c r="H46" s="19"/>
      <c r="I46" s="3"/>
      <c r="J46" s="3"/>
      <c r="K46" s="3"/>
      <c r="L46" s="3"/>
      <c r="M46" s="3"/>
      <c r="N46" s="3"/>
      <c r="O46" s="3"/>
      <c r="P46" s="3"/>
    </row>
    <row r="47" spans="1:16" ht="12.75">
      <c r="A47" s="3" t="s">
        <v>37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51">
      <c r="A48" s="5" t="s">
        <v>5</v>
      </c>
      <c r="B48" s="5"/>
      <c r="C48" s="20">
        <f>0.87*1900</f>
        <v>1653</v>
      </c>
      <c r="D48" s="20">
        <f>0.87*1900</f>
        <v>1653</v>
      </c>
      <c r="E48" s="20">
        <f>0.87*1900</f>
        <v>1653</v>
      </c>
      <c r="F48" s="20">
        <f>0.87*1900</f>
        <v>1653</v>
      </c>
      <c r="G48" s="20">
        <f>0.87*1900</f>
        <v>1653</v>
      </c>
      <c r="H48" s="20">
        <f>0.87*1800</f>
        <v>1566</v>
      </c>
      <c r="I48" s="3"/>
      <c r="J48" s="3"/>
      <c r="K48" s="3"/>
      <c r="L48" s="3"/>
      <c r="M48" s="3"/>
      <c r="N48" s="3"/>
      <c r="O48" s="3"/>
      <c r="P48" s="3"/>
    </row>
    <row r="49" spans="1:16" ht="12.75">
      <c r="A49" s="14"/>
      <c r="B49" s="14"/>
      <c r="C49" s="19"/>
      <c r="D49" s="19"/>
      <c r="E49" s="19"/>
      <c r="F49" s="19"/>
      <c r="G49" s="19"/>
      <c r="H49" s="19"/>
      <c r="I49" s="3"/>
      <c r="J49" s="3"/>
      <c r="K49" s="3"/>
      <c r="L49" s="3"/>
      <c r="M49" s="3"/>
      <c r="N49" s="3"/>
      <c r="O49" s="3"/>
      <c r="P49" s="3"/>
    </row>
    <row r="50" spans="1:16" ht="12.75">
      <c r="A50" s="3" t="s">
        <v>38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38.25">
      <c r="A51" s="17" t="s">
        <v>21</v>
      </c>
      <c r="B51" s="21">
        <f>0.87*254245</f>
        <v>221193.15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51">
      <c r="A52" s="17" t="s">
        <v>22</v>
      </c>
      <c r="B52" s="21">
        <f>0.87*27500</f>
        <v>23925</v>
      </c>
      <c r="C52" s="3"/>
      <c r="D52" s="3"/>
      <c r="E52" s="3"/>
      <c r="F52" s="3"/>
      <c r="G52" s="3"/>
      <c r="H52" s="3"/>
      <c r="I52" s="12"/>
      <c r="J52" s="12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12"/>
      <c r="J53" s="12"/>
      <c r="K53" s="3"/>
      <c r="L53" s="3"/>
      <c r="M53" s="3"/>
      <c r="N53" s="3"/>
      <c r="O53" s="3"/>
      <c r="P53" s="3"/>
    </row>
    <row r="54" spans="1:16" ht="12.75" customHeight="1">
      <c r="A54" s="12" t="s">
        <v>30</v>
      </c>
      <c r="B54" s="12"/>
      <c r="C54" s="12"/>
      <c r="D54" s="12"/>
      <c r="E54" s="12"/>
      <c r="F54" s="12"/>
      <c r="G54" s="12"/>
      <c r="H54" s="12"/>
      <c r="I54" s="28"/>
      <c r="J54" s="28"/>
      <c r="K54" s="3"/>
      <c r="L54" s="3"/>
      <c r="M54" s="3"/>
      <c r="N54" s="3"/>
      <c r="O54" s="3"/>
      <c r="P54" s="3"/>
    </row>
    <row r="55" spans="1:16" ht="12.75">
      <c r="A55" s="12"/>
      <c r="B55" s="12"/>
      <c r="C55" s="12"/>
      <c r="D55" s="12"/>
      <c r="E55" s="12"/>
      <c r="F55" s="12"/>
      <c r="G55" s="12"/>
      <c r="H55" s="12"/>
      <c r="I55" s="2"/>
      <c r="J55" s="2"/>
      <c r="K55" s="3"/>
      <c r="L55" s="3"/>
      <c r="M55" s="3"/>
      <c r="N55" s="3"/>
      <c r="O55" s="3"/>
      <c r="P55" s="3"/>
    </row>
    <row r="56" spans="1:16" ht="76.5" customHeight="1">
      <c r="A56" s="28" t="s">
        <v>31</v>
      </c>
      <c r="B56" s="28"/>
      <c r="C56" s="28"/>
      <c r="D56" s="28"/>
      <c r="E56" s="28"/>
      <c r="F56" s="28"/>
      <c r="G56" s="28"/>
      <c r="H56" s="28"/>
      <c r="I56" s="2"/>
      <c r="J56" s="2"/>
      <c r="K56" s="3"/>
      <c r="L56" s="3"/>
      <c r="M56" s="3"/>
      <c r="N56" s="3"/>
      <c r="O56" s="3"/>
      <c r="P56" s="3"/>
    </row>
    <row r="57" spans="1:16" ht="12.75" customHeight="1">
      <c r="A57" s="2" t="s">
        <v>32</v>
      </c>
      <c r="B57" s="2"/>
      <c r="C57" s="2"/>
      <c r="D57" s="2"/>
      <c r="E57" s="2"/>
      <c r="F57" s="2"/>
      <c r="G57" s="2"/>
      <c r="H57" s="2"/>
      <c r="I57" s="2"/>
      <c r="J57" s="2"/>
      <c r="K57" s="3"/>
      <c r="L57" s="3"/>
      <c r="M57" s="3"/>
      <c r="N57" s="3"/>
      <c r="O57" s="3"/>
      <c r="P57" s="3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3"/>
      <c r="L58" s="3"/>
      <c r="M58" s="3"/>
      <c r="N58" s="3"/>
      <c r="O58" s="3"/>
      <c r="P58" s="3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3"/>
      <c r="L59" s="3"/>
      <c r="M59" s="3"/>
      <c r="N59" s="3"/>
      <c r="O59" s="3"/>
      <c r="P59" s="3"/>
    </row>
    <row r="60" spans="1:16" ht="12.75">
      <c r="A60" s="2"/>
      <c r="B60" s="2"/>
      <c r="C60" s="2"/>
      <c r="D60" s="2"/>
      <c r="E60" s="2"/>
      <c r="F60" s="2"/>
      <c r="G60" s="2"/>
      <c r="H60" s="2"/>
      <c r="I60" s="3"/>
      <c r="J60" s="3"/>
      <c r="K60" s="3"/>
      <c r="L60" s="3"/>
      <c r="M60" s="3"/>
      <c r="N60" s="3"/>
      <c r="O60" s="3"/>
      <c r="P60" s="3"/>
    </row>
    <row r="61" spans="1:16" ht="27" customHeight="1">
      <c r="A61" s="2" t="s">
        <v>33</v>
      </c>
      <c r="B61" s="2"/>
      <c r="C61" s="2"/>
      <c r="D61" s="2"/>
      <c r="E61" s="2"/>
      <c r="F61" s="2"/>
      <c r="G61" s="2"/>
      <c r="H61" s="2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 t="s">
        <v>39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27" customHeight="1">
      <c r="A64" s="4" t="s">
        <v>0</v>
      </c>
      <c r="B64" s="4" t="s">
        <v>23</v>
      </c>
      <c r="C64" s="4" t="s">
        <v>34</v>
      </c>
      <c r="D64" s="4" t="s">
        <v>2</v>
      </c>
      <c r="E64" s="4" t="s">
        <v>25</v>
      </c>
      <c r="F64" s="4" t="s">
        <v>3</v>
      </c>
      <c r="G64" s="4" t="s">
        <v>4</v>
      </c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5">
        <v>2003</v>
      </c>
      <c r="B65" s="6">
        <f>0.87*10</f>
        <v>8.7</v>
      </c>
      <c r="C65" s="6">
        <f>0.87*530</f>
        <v>461.1</v>
      </c>
      <c r="D65" s="6">
        <f>0.87*150</f>
        <v>130.5</v>
      </c>
      <c r="E65" s="6">
        <f>0.87*20</f>
        <v>17.4</v>
      </c>
      <c r="F65" s="6">
        <f>50*0.87</f>
        <v>43.5</v>
      </c>
      <c r="G65" s="6">
        <f>0.87*760</f>
        <v>661.2</v>
      </c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5">
        <v>2004</v>
      </c>
      <c r="B66" s="6">
        <f>0.87*20</f>
        <v>17.4</v>
      </c>
      <c r="C66" s="6">
        <f>0.87*680</f>
        <v>591.6</v>
      </c>
      <c r="D66" s="6">
        <f>0.87*250</f>
        <v>217.5</v>
      </c>
      <c r="E66" s="6">
        <f>0.87*50</f>
        <v>43.5</v>
      </c>
      <c r="F66" s="6">
        <f>0.87*50</f>
        <v>43.5</v>
      </c>
      <c r="G66" s="6">
        <f>0.87*1050</f>
        <v>913.5</v>
      </c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5">
        <v>2005</v>
      </c>
      <c r="B67" s="6">
        <f>0.87*20</f>
        <v>17.4</v>
      </c>
      <c r="C67" s="6">
        <f>0.87*730</f>
        <v>635.1</v>
      </c>
      <c r="D67" s="6">
        <f>0.87*300</f>
        <v>261</v>
      </c>
      <c r="E67" s="6">
        <f>0.87*50</f>
        <v>43.5</v>
      </c>
      <c r="F67" s="6">
        <f>0.87*50</f>
        <v>43.5</v>
      </c>
      <c r="G67" s="6">
        <f>0.87*1150</f>
        <v>1000.5</v>
      </c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5">
        <v>2006</v>
      </c>
      <c r="B68" s="6">
        <f>0.87*20</f>
        <v>17.4</v>
      </c>
      <c r="C68" s="6">
        <f>0.87*850</f>
        <v>739.5</v>
      </c>
      <c r="D68" s="6">
        <f>0.87*300</f>
        <v>261</v>
      </c>
      <c r="E68" s="6">
        <f>0.87*50</f>
        <v>43.5</v>
      </c>
      <c r="F68" s="6">
        <f>0.87*80</f>
        <v>69.6</v>
      </c>
      <c r="G68" s="6">
        <f>0.87*1300</f>
        <v>1131</v>
      </c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5">
        <v>2007</v>
      </c>
      <c r="B69" s="6">
        <f>0.87*30</f>
        <v>26.1</v>
      </c>
      <c r="C69" s="6">
        <f>0.87*910</f>
        <v>791.7</v>
      </c>
      <c r="D69" s="6">
        <f>0.87*300</f>
        <v>261</v>
      </c>
      <c r="E69" s="6">
        <f>0.87*70</f>
        <v>60.9</v>
      </c>
      <c r="F69" s="6">
        <f>0.87*90</f>
        <v>78.3</v>
      </c>
      <c r="G69" s="6">
        <f>0.87*1400</f>
        <v>1218</v>
      </c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5">
        <v>2008</v>
      </c>
      <c r="B70" s="6">
        <f>0.87*40</f>
        <v>34.8</v>
      </c>
      <c r="C70" s="6">
        <f>0.87*970</f>
        <v>843.9</v>
      </c>
      <c r="D70" s="6">
        <f>0.87*330</f>
        <v>287.1</v>
      </c>
      <c r="E70" s="6">
        <f>0.87*70</f>
        <v>60.9</v>
      </c>
      <c r="F70" s="6">
        <f>0.87*90</f>
        <v>78.3</v>
      </c>
      <c r="G70" s="6">
        <f>0.87*1500</f>
        <v>1305</v>
      </c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5">
        <v>2009</v>
      </c>
      <c r="B71" s="6">
        <f>0.87*40</f>
        <v>34.8</v>
      </c>
      <c r="C71" s="6">
        <f>0.87*1090</f>
        <v>948.3</v>
      </c>
      <c r="D71" s="6">
        <f>0.87*350</f>
        <v>304.5</v>
      </c>
      <c r="E71" s="6">
        <f>0.87*100</f>
        <v>87</v>
      </c>
      <c r="F71" s="6">
        <f>0.87*100</f>
        <v>87</v>
      </c>
      <c r="G71" s="6">
        <f>0.87*1680</f>
        <v>1461.6</v>
      </c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5">
        <v>2010</v>
      </c>
      <c r="B72" s="6">
        <f>0.87*50</f>
        <v>43.5</v>
      </c>
      <c r="C72" s="6">
        <f>0.87*1230</f>
        <v>1070.1</v>
      </c>
      <c r="D72" s="6">
        <f>0.87*350</f>
        <v>304.5</v>
      </c>
      <c r="E72" s="6">
        <f>0.87*120</f>
        <v>104.4</v>
      </c>
      <c r="F72" s="6">
        <f>0.87*100</f>
        <v>87</v>
      </c>
      <c r="G72" s="6">
        <f>0.87*1850</f>
        <v>1609.5</v>
      </c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5">
        <v>2011</v>
      </c>
      <c r="B73" s="6">
        <f>0.87*50</f>
        <v>43.5</v>
      </c>
      <c r="C73" s="6">
        <f>0.87*1300</f>
        <v>1131</v>
      </c>
      <c r="D73" s="6">
        <f>0.87*400</f>
        <v>348</v>
      </c>
      <c r="E73" s="6">
        <f>0.87*200</f>
        <v>174</v>
      </c>
      <c r="F73" s="6">
        <f>0.87*150</f>
        <v>130.5</v>
      </c>
      <c r="G73" s="6">
        <f>0.87*2100</f>
        <v>1827</v>
      </c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0">
        <v>2010</v>
      </c>
      <c r="J74" s="30">
        <v>2011</v>
      </c>
      <c r="K74" s="3"/>
      <c r="L74" s="3"/>
      <c r="M74" s="3"/>
      <c r="N74" s="3"/>
      <c r="O74" s="3"/>
      <c r="P74" s="3"/>
    </row>
    <row r="75" spans="1:16" ht="12.75">
      <c r="A75" s="3" t="s">
        <v>40</v>
      </c>
      <c r="B75" s="3"/>
      <c r="C75" s="3"/>
      <c r="D75" s="3"/>
      <c r="E75" s="3"/>
      <c r="F75" s="3"/>
      <c r="G75" s="3"/>
      <c r="H75" s="3"/>
      <c r="I75" s="26"/>
      <c r="J75" s="26"/>
      <c r="K75" s="3"/>
      <c r="L75" s="3"/>
      <c r="M75" s="3"/>
      <c r="N75" s="3"/>
      <c r="O75" s="3"/>
      <c r="P75" s="3"/>
    </row>
    <row r="76" spans="1:16" ht="12.75">
      <c r="A76" s="30" t="s">
        <v>0</v>
      </c>
      <c r="B76" s="30">
        <v>2003</v>
      </c>
      <c r="C76" s="30">
        <v>2004</v>
      </c>
      <c r="D76" s="30">
        <v>2005</v>
      </c>
      <c r="E76" s="30">
        <v>2006</v>
      </c>
      <c r="F76" s="30">
        <v>2007</v>
      </c>
      <c r="G76" s="30">
        <v>2008</v>
      </c>
      <c r="H76" s="30">
        <v>2009</v>
      </c>
      <c r="I76" s="26">
        <f>0.87*5.75</f>
        <v>5.0025</v>
      </c>
      <c r="J76" s="26">
        <f>0.87*5.75</f>
        <v>5.0025</v>
      </c>
      <c r="K76" s="3"/>
      <c r="L76" s="3"/>
      <c r="M76" s="3"/>
      <c r="N76" s="3"/>
      <c r="O76" s="3"/>
      <c r="P76" s="3"/>
    </row>
    <row r="77" spans="1:16" ht="51">
      <c r="A77" s="31" t="s">
        <v>5</v>
      </c>
      <c r="B77" s="26">
        <f>0.87*19</f>
        <v>16.53</v>
      </c>
      <c r="C77" s="26">
        <f>0.87*19</f>
        <v>16.53</v>
      </c>
      <c r="D77" s="26">
        <f>0.87*19</f>
        <v>16.53</v>
      </c>
      <c r="E77" s="26">
        <f>0.87*19</f>
        <v>16.53</v>
      </c>
      <c r="F77" s="26">
        <f>0.87*19</f>
        <v>16.53</v>
      </c>
      <c r="G77" s="26">
        <f>0.87*65</f>
        <v>56.55</v>
      </c>
      <c r="H77" s="26">
        <f>0.87*65</f>
        <v>56.55</v>
      </c>
      <c r="I77" s="26">
        <f>0.87*9.25</f>
        <v>8.0475</v>
      </c>
      <c r="J77" s="26">
        <f>0.87*9.25</f>
        <v>8.0475</v>
      </c>
      <c r="K77" s="3"/>
      <c r="L77" s="3"/>
      <c r="M77" s="3"/>
      <c r="N77" s="3"/>
      <c r="O77" s="3"/>
      <c r="P77" s="3"/>
    </row>
    <row r="78" spans="1:16" ht="38.25">
      <c r="A78" s="31" t="s">
        <v>6</v>
      </c>
      <c r="B78" s="26">
        <f>0.87*5.2</f>
        <v>4.524</v>
      </c>
      <c r="C78" s="26">
        <f>0.87*5.2</f>
        <v>4.524</v>
      </c>
      <c r="D78" s="26">
        <f>0.87*5.2</f>
        <v>4.524</v>
      </c>
      <c r="E78" s="26">
        <f>0.87*5.2</f>
        <v>4.524</v>
      </c>
      <c r="F78" s="26">
        <f>0.87*5.2</f>
        <v>4.524</v>
      </c>
      <c r="G78" s="26">
        <f>0.87*5.75</f>
        <v>5.0025</v>
      </c>
      <c r="H78" s="26">
        <f>0.87*5.75</f>
        <v>5.0025</v>
      </c>
      <c r="I78" s="3"/>
      <c r="J78" s="3"/>
      <c r="K78" s="3"/>
      <c r="L78" s="3"/>
      <c r="M78" s="3"/>
      <c r="N78" s="3"/>
      <c r="O78" s="3"/>
      <c r="P78" s="3"/>
    </row>
    <row r="79" spans="1:16" ht="76.5">
      <c r="A79" s="31" t="s">
        <v>7</v>
      </c>
      <c r="B79" s="26">
        <f>0.87*7.4</f>
        <v>6.438000000000001</v>
      </c>
      <c r="C79" s="26">
        <f>0.87*7.4</f>
        <v>6.438000000000001</v>
      </c>
      <c r="D79" s="26">
        <f>0.87*7.4</f>
        <v>6.438000000000001</v>
      </c>
      <c r="E79" s="26">
        <f>0.87*7.4</f>
        <v>6.438000000000001</v>
      </c>
      <c r="F79" s="26">
        <f>0.87*7.4</f>
        <v>6.438000000000001</v>
      </c>
      <c r="G79" s="26">
        <f>0.87*9.25</f>
        <v>8.0475</v>
      </c>
      <c r="H79" s="26">
        <f>0.87*9.25</f>
        <v>8.0475</v>
      </c>
      <c r="I79" s="32"/>
      <c r="J79" s="32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30" customHeight="1">
      <c r="A81" s="32" t="s">
        <v>35</v>
      </c>
      <c r="B81" s="32"/>
      <c r="C81" s="32"/>
      <c r="D81" s="32"/>
      <c r="E81" s="32"/>
      <c r="F81" s="32"/>
      <c r="G81" s="32"/>
      <c r="H81" s="32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8">
        <v>2010</v>
      </c>
      <c r="J82" s="8">
        <v>2011</v>
      </c>
      <c r="K82" s="3"/>
      <c r="L82" s="3"/>
      <c r="M82" s="3"/>
      <c r="N82" s="3"/>
      <c r="O82" s="3"/>
      <c r="P82" s="3"/>
    </row>
    <row r="83" spans="1:16" ht="12.75">
      <c r="A83" s="3" t="s">
        <v>42</v>
      </c>
      <c r="B83" s="3"/>
      <c r="C83" s="3"/>
      <c r="D83" s="3"/>
      <c r="E83" s="3"/>
      <c r="F83" s="3"/>
      <c r="G83" s="3"/>
      <c r="H83" s="3"/>
      <c r="I83" s="10">
        <f>0.87*5</f>
        <v>4.35</v>
      </c>
      <c r="J83" s="10">
        <f>0.87*7</f>
        <v>6.09</v>
      </c>
      <c r="K83" s="3"/>
      <c r="L83" s="3"/>
      <c r="M83" s="3"/>
      <c r="N83" s="3"/>
      <c r="O83" s="3"/>
      <c r="P83" s="3"/>
    </row>
    <row r="84" spans="1:16" ht="12.75">
      <c r="A84" s="8" t="s">
        <v>0</v>
      </c>
      <c r="B84" s="8">
        <v>2003</v>
      </c>
      <c r="C84" s="8">
        <v>2004</v>
      </c>
      <c r="D84" s="8">
        <v>2005</v>
      </c>
      <c r="E84" s="8">
        <v>2006</v>
      </c>
      <c r="F84" s="8">
        <v>2007</v>
      </c>
      <c r="G84" s="8">
        <v>2008</v>
      </c>
      <c r="H84" s="8">
        <v>2009</v>
      </c>
      <c r="I84" s="3"/>
      <c r="J84" s="3"/>
      <c r="K84" s="3"/>
      <c r="L84" s="3"/>
      <c r="M84" s="3"/>
      <c r="N84" s="3"/>
      <c r="O84" s="3"/>
      <c r="P84" s="3"/>
    </row>
    <row r="85" spans="1:16" ht="25.5">
      <c r="A85" s="33" t="s">
        <v>8</v>
      </c>
      <c r="B85" s="10">
        <f>0.87*26</f>
        <v>22.62</v>
      </c>
      <c r="C85" s="10">
        <f>0.87*19</f>
        <v>16.53</v>
      </c>
      <c r="D85" s="10">
        <f>0.87*5</f>
        <v>4.35</v>
      </c>
      <c r="E85" s="10">
        <f>0.87*7</f>
        <v>6.09</v>
      </c>
      <c r="F85" s="10">
        <f>0.87*4</f>
        <v>3.48</v>
      </c>
      <c r="G85" s="10">
        <f>0.87*4</f>
        <v>3.48</v>
      </c>
      <c r="H85" s="10">
        <f>0.87*6</f>
        <v>5.22</v>
      </c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4" t="s">
        <v>43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14"/>
      <c r="J90" s="14"/>
      <c r="K90" s="14"/>
      <c r="L90" s="15"/>
      <c r="M90" s="3"/>
      <c r="N90" s="3"/>
      <c r="O90" s="3"/>
      <c r="P90" s="3"/>
    </row>
    <row r="91" spans="1:16" ht="12.75">
      <c r="A91" s="3" t="s">
        <v>44</v>
      </c>
      <c r="B91" s="3"/>
      <c r="C91" s="3"/>
      <c r="D91" s="3"/>
      <c r="E91" s="3"/>
      <c r="F91" s="3"/>
      <c r="G91" s="3"/>
      <c r="H91" s="3"/>
      <c r="I91" s="29">
        <v>2009</v>
      </c>
      <c r="J91" s="29">
        <v>2010</v>
      </c>
      <c r="K91" s="45">
        <v>2011</v>
      </c>
      <c r="L91" s="45"/>
      <c r="M91" s="3"/>
      <c r="N91" s="3"/>
      <c r="O91" s="3"/>
      <c r="P91" s="3"/>
    </row>
    <row r="92" spans="1:16" ht="17.25" customHeight="1">
      <c r="A92" s="14" t="s">
        <v>45</v>
      </c>
      <c r="B92" s="14"/>
      <c r="C92" s="14"/>
      <c r="D92" s="14"/>
      <c r="E92" s="14"/>
      <c r="F92" s="14"/>
      <c r="G92" s="14"/>
      <c r="H92" s="14"/>
      <c r="I92" s="21">
        <f>0.87*509316</f>
        <v>443104.92</v>
      </c>
      <c r="J92" s="21">
        <f>0.87*578003</f>
        <v>502862.61</v>
      </c>
      <c r="K92" s="42">
        <f>0.87*640585</f>
        <v>557308.95</v>
      </c>
      <c r="L92" s="42"/>
      <c r="M92" s="3"/>
      <c r="N92" s="3"/>
      <c r="O92" s="3"/>
      <c r="P92" s="3"/>
    </row>
    <row r="93" spans="1:16" ht="12.75">
      <c r="A93" s="29" t="s">
        <v>0</v>
      </c>
      <c r="B93" s="29">
        <v>2002</v>
      </c>
      <c r="C93" s="29">
        <v>2003</v>
      </c>
      <c r="D93" s="29">
        <v>2004</v>
      </c>
      <c r="E93" s="29">
        <v>2005</v>
      </c>
      <c r="F93" s="29">
        <v>2006</v>
      </c>
      <c r="G93" s="29">
        <v>2007</v>
      </c>
      <c r="H93" s="29">
        <v>2008</v>
      </c>
      <c r="I93" s="21">
        <f>0.87*388100</f>
        <v>337647</v>
      </c>
      <c r="J93" s="21">
        <f>0.87*416959</f>
        <v>362754.33</v>
      </c>
      <c r="K93" s="42">
        <f>0.87*460585</f>
        <v>400708.95</v>
      </c>
      <c r="L93" s="42"/>
      <c r="M93" s="3"/>
      <c r="N93" s="3"/>
      <c r="O93" s="3"/>
      <c r="P93" s="3"/>
    </row>
    <row r="94" spans="1:16" ht="38.25">
      <c r="A94" s="5" t="s">
        <v>9</v>
      </c>
      <c r="B94" s="21">
        <f>0.87*150150</f>
        <v>130630.5</v>
      </c>
      <c r="C94" s="21">
        <f>0.87*216655</f>
        <v>188489.85</v>
      </c>
      <c r="D94" s="21">
        <f>0.87*293719</f>
        <v>255535.53</v>
      </c>
      <c r="E94" s="21">
        <f>0.87*323595</f>
        <v>281527.65</v>
      </c>
      <c r="F94" s="21">
        <f>0.87*373105</f>
        <v>324601.35</v>
      </c>
      <c r="G94" s="21">
        <f>0.87*410455</f>
        <v>357095.85</v>
      </c>
      <c r="H94" s="21">
        <f>0.87*449242</f>
        <v>390840.54</v>
      </c>
      <c r="I94" s="23"/>
      <c r="J94" s="23"/>
      <c r="K94" s="43"/>
      <c r="L94" s="43"/>
      <c r="M94" s="3"/>
      <c r="N94" s="3"/>
      <c r="O94" s="3"/>
      <c r="P94" s="3"/>
    </row>
    <row r="95" spans="1:16" ht="38.25">
      <c r="A95" s="5" t="s">
        <v>10</v>
      </c>
      <c r="B95" s="21">
        <f>0.87*126196</f>
        <v>109790.52</v>
      </c>
      <c r="C95" s="21">
        <f>0.87*186710</f>
        <v>162437.7</v>
      </c>
      <c r="D95" s="21">
        <f>0.87*248162</f>
        <v>215900.94</v>
      </c>
      <c r="E95" s="21">
        <f>0.87*271589</f>
        <v>236282.43</v>
      </c>
      <c r="F95" s="21">
        <f>0.87*303359</f>
        <v>263922.33</v>
      </c>
      <c r="G95" s="21">
        <f>0.87*324229</f>
        <v>282079.23</v>
      </c>
      <c r="H95" s="21">
        <f>0.87*349864</f>
        <v>304381.68</v>
      </c>
      <c r="I95" s="21">
        <f>0.87*281852</f>
        <v>245211.24</v>
      </c>
      <c r="J95" s="21">
        <f>0.87*310373</f>
        <v>270024.51</v>
      </c>
      <c r="K95" s="42">
        <f>0.87*352315</f>
        <v>306514.05</v>
      </c>
      <c r="L95" s="42"/>
      <c r="M95" s="3"/>
      <c r="N95" s="3"/>
      <c r="O95" s="3"/>
      <c r="P95" s="3"/>
    </row>
    <row r="96" spans="1:16" ht="12.75">
      <c r="A96" s="16" t="s">
        <v>11</v>
      </c>
      <c r="B96" s="23"/>
      <c r="C96" s="23"/>
      <c r="D96" s="23"/>
      <c r="E96" s="23"/>
      <c r="F96" s="23"/>
      <c r="G96" s="23"/>
      <c r="H96" s="23"/>
      <c r="I96" s="21">
        <f>0.87*23230</f>
        <v>20210.1</v>
      </c>
      <c r="J96" s="21">
        <f>0.87*23230</f>
        <v>20210.1</v>
      </c>
      <c r="K96" s="42">
        <f>0.87*23230</f>
        <v>20210.1</v>
      </c>
      <c r="L96" s="42"/>
      <c r="M96" s="3"/>
      <c r="N96" s="3"/>
      <c r="O96" s="3"/>
      <c r="P96" s="3"/>
    </row>
    <row r="97" spans="1:16" ht="25.5">
      <c r="A97" s="16" t="s">
        <v>12</v>
      </c>
      <c r="B97" s="21">
        <f>0.87*88460</f>
        <v>76960.2</v>
      </c>
      <c r="C97" s="21">
        <f>0.87*127504</f>
        <v>110928.48</v>
      </c>
      <c r="D97" s="21">
        <f>0.87*176158</f>
        <v>153257.46</v>
      </c>
      <c r="E97" s="21">
        <f>0.87*192934</f>
        <v>167852.58</v>
      </c>
      <c r="F97" s="21">
        <f>0.87*218100</f>
        <v>189747</v>
      </c>
      <c r="G97" s="21">
        <f>0.87*234877</f>
        <v>204342.99</v>
      </c>
      <c r="H97" s="21">
        <f>0.87*251654</f>
        <v>218938.98</v>
      </c>
      <c r="I97" s="21">
        <f>0.87*2750</f>
        <v>2392.5</v>
      </c>
      <c r="J97" s="21">
        <f>0.87*2753</f>
        <v>2395.11</v>
      </c>
      <c r="K97" s="42">
        <f>0.87*2841</f>
        <v>2471.67</v>
      </c>
      <c r="L97" s="42"/>
      <c r="M97" s="3"/>
      <c r="N97" s="3"/>
      <c r="O97" s="3"/>
      <c r="P97" s="3"/>
    </row>
    <row r="98" spans="1:16" ht="12.75">
      <c r="A98" s="16" t="s">
        <v>13</v>
      </c>
      <c r="B98" s="23">
        <f>0.87*730</f>
        <v>635.1</v>
      </c>
      <c r="C98" s="21">
        <f>0.87*2630</f>
        <v>2288.1</v>
      </c>
      <c r="D98" s="21">
        <f>0.87*4530</f>
        <v>3941.1</v>
      </c>
      <c r="E98" s="21">
        <f>0.87*6430</f>
        <v>5594.1</v>
      </c>
      <c r="F98" s="21">
        <f>0.87*8330</f>
        <v>7247.1</v>
      </c>
      <c r="G98" s="21">
        <f>0.87*10230</f>
        <v>8900.1</v>
      </c>
      <c r="H98" s="21">
        <f>0.87*16730</f>
        <v>14555.1</v>
      </c>
      <c r="I98" s="23">
        <f>0.87*133</f>
        <v>115.71</v>
      </c>
      <c r="J98" s="23">
        <f>0.87*126</f>
        <v>109.62</v>
      </c>
      <c r="K98" s="43">
        <f>0.87*105</f>
        <v>91.35</v>
      </c>
      <c r="L98" s="43"/>
      <c r="M98" s="3"/>
      <c r="N98" s="3"/>
      <c r="O98" s="3"/>
      <c r="P98" s="3"/>
    </row>
    <row r="99" spans="1:16" ht="25.5">
      <c r="A99" s="16" t="s">
        <v>14</v>
      </c>
      <c r="B99" s="21">
        <f>0.87*1682</f>
        <v>1463.34</v>
      </c>
      <c r="C99" s="21">
        <f>0.87*2204</f>
        <v>1917.48</v>
      </c>
      <c r="D99" s="21">
        <f>0.87*2768</f>
        <v>2408.16</v>
      </c>
      <c r="E99" s="21">
        <f>0.87*2756</f>
        <v>2397.72</v>
      </c>
      <c r="F99" s="21">
        <f>0.87*2832</f>
        <v>2463.84</v>
      </c>
      <c r="G99" s="21">
        <f>0.87*2773</f>
        <v>2412.5099999999998</v>
      </c>
      <c r="H99" s="21">
        <f>0.87*2701</f>
        <v>2349.87</v>
      </c>
      <c r="I99" s="21">
        <f>0.87*7408</f>
        <v>6444.96</v>
      </c>
      <c r="J99" s="21">
        <f>0.87*5781</f>
        <v>5029.47</v>
      </c>
      <c r="K99" s="42">
        <f>0.87*4389</f>
        <v>3818.43</v>
      </c>
      <c r="L99" s="42"/>
      <c r="M99" s="3"/>
      <c r="N99" s="3"/>
      <c r="O99" s="3"/>
      <c r="P99" s="3"/>
    </row>
    <row r="100" spans="1:16" ht="25.5">
      <c r="A100" s="16" t="s">
        <v>15</v>
      </c>
      <c r="B100" s="23">
        <v>0</v>
      </c>
      <c r="C100" s="23">
        <f>0.87*460</f>
        <v>400.2</v>
      </c>
      <c r="D100" s="23">
        <f>0.87*336</f>
        <v>292.32</v>
      </c>
      <c r="E100" s="23">
        <f>0.87*172</f>
        <v>149.64</v>
      </c>
      <c r="F100" s="23">
        <f>0.87*259</f>
        <v>225.33</v>
      </c>
      <c r="G100" s="23">
        <f>0.87*212</f>
        <v>184.44</v>
      </c>
      <c r="H100" s="23">
        <f>0.87*165</f>
        <v>143.55</v>
      </c>
      <c r="I100" s="21">
        <f>0.87*121215</f>
        <v>105457.05</v>
      </c>
      <c r="J100" s="21">
        <f>0.87*161044</f>
        <v>140108.28</v>
      </c>
      <c r="K100" s="42">
        <f>0.87*180000</f>
        <v>156600</v>
      </c>
      <c r="L100" s="42"/>
      <c r="M100" s="3"/>
      <c r="N100" s="3"/>
      <c r="O100" s="3"/>
      <c r="P100" s="3"/>
    </row>
    <row r="101" spans="1:16" ht="25.5">
      <c r="A101" s="16" t="s">
        <v>16</v>
      </c>
      <c r="B101" s="23">
        <f>0.87*893</f>
        <v>776.91</v>
      </c>
      <c r="C101" s="21">
        <f>0.87*2203</f>
        <v>1916.61</v>
      </c>
      <c r="D101" s="21">
        <f>0.87*3055</f>
        <v>2657.85</v>
      </c>
      <c r="E101" s="21">
        <f>0.87*3608</f>
        <v>3138.96</v>
      </c>
      <c r="F101" s="21">
        <f>0.87*3921</f>
        <v>3411.27</v>
      </c>
      <c r="G101" s="21">
        <f>0.87*4044</f>
        <v>3518.28</v>
      </c>
      <c r="H101" s="21">
        <f>0.87*6074</f>
        <v>5284.38</v>
      </c>
      <c r="I101" s="21">
        <f>0.87*29092</f>
        <v>25310.04</v>
      </c>
      <c r="J101" s="21">
        <f>0.87*38651</f>
        <v>33626.37</v>
      </c>
      <c r="K101" s="42">
        <f>0.87*43200</f>
        <v>37584</v>
      </c>
      <c r="L101" s="42"/>
      <c r="M101" s="3"/>
      <c r="N101" s="3"/>
      <c r="O101" s="3"/>
      <c r="P101" s="3"/>
    </row>
    <row r="102" spans="1:16" ht="25.5">
      <c r="A102" s="5" t="s">
        <v>17</v>
      </c>
      <c r="B102" s="21">
        <f>0.87*23954</f>
        <v>20839.98</v>
      </c>
      <c r="C102" s="21">
        <f>0.87*29945</f>
        <v>26052.15</v>
      </c>
      <c r="D102" s="21">
        <f>0.87*45557</f>
        <v>39634.59</v>
      </c>
      <c r="E102" s="21">
        <f>0.87*52005</f>
        <v>45244.35</v>
      </c>
      <c r="F102" s="21">
        <f>0.87*69746</f>
        <v>60679.02</v>
      </c>
      <c r="G102" s="21">
        <f>0.87*86227</f>
        <v>75017.49</v>
      </c>
      <c r="H102" s="21">
        <f>0.87*99378</f>
        <v>86458.86</v>
      </c>
      <c r="I102" s="25">
        <f>0.87*92124</f>
        <v>80147.88</v>
      </c>
      <c r="J102" s="25">
        <f>0.87*122393</f>
        <v>106481.91</v>
      </c>
      <c r="K102" s="44">
        <f>0.87*136800</f>
        <v>119016</v>
      </c>
      <c r="L102" s="44"/>
      <c r="M102" s="3"/>
      <c r="N102" s="3"/>
      <c r="O102" s="3"/>
      <c r="P102" s="3"/>
    </row>
    <row r="103" spans="1:16" ht="25.5">
      <c r="A103" s="5" t="s">
        <v>18</v>
      </c>
      <c r="B103" s="21">
        <f>0.87*5749</f>
        <v>5001.63</v>
      </c>
      <c r="C103" s="21">
        <f>0.87*7187</f>
        <v>6252.69</v>
      </c>
      <c r="D103" s="21">
        <f>0.87*10934</f>
        <v>9512.58</v>
      </c>
      <c r="E103" s="21">
        <f>0.87*12481</f>
        <v>10858.47</v>
      </c>
      <c r="F103" s="21">
        <f>0.87*16739</f>
        <v>14562.93</v>
      </c>
      <c r="G103" s="21">
        <f>0.87*20694</f>
        <v>18003.78</v>
      </c>
      <c r="H103" s="21">
        <f>0.87*23851</f>
        <v>20750.37</v>
      </c>
      <c r="I103" s="21">
        <f>0.87*50353</f>
        <v>43807.11</v>
      </c>
      <c r="J103" s="21">
        <f>0.87*145623</f>
        <v>126692.01</v>
      </c>
      <c r="K103" s="42">
        <f>0.87*160030</f>
        <v>139226.1</v>
      </c>
      <c r="L103" s="42"/>
      <c r="M103" s="3"/>
      <c r="N103" s="3"/>
      <c r="O103" s="3"/>
      <c r="P103" s="3"/>
    </row>
    <row r="104" spans="1:16" ht="63.75">
      <c r="A104" s="17" t="s">
        <v>19</v>
      </c>
      <c r="B104" s="25">
        <f>0.87*18205</f>
        <v>15838.35</v>
      </c>
      <c r="C104" s="25">
        <f>0.87*22758</f>
        <v>19799.46</v>
      </c>
      <c r="D104" s="25">
        <f>0.87*34623</f>
        <v>30122.01</v>
      </c>
      <c r="E104" s="25">
        <f>0.87*39524</f>
        <v>34385.88</v>
      </c>
      <c r="F104" s="25">
        <f>0.87*53007</f>
        <v>46116.09</v>
      </c>
      <c r="G104" s="25">
        <f>0.87*65532</f>
        <v>57012.84</v>
      </c>
      <c r="H104" s="25">
        <f>0.87*75527</f>
        <v>65708.49</v>
      </c>
      <c r="I104" s="35"/>
      <c r="J104" s="35"/>
      <c r="K104" s="35"/>
      <c r="L104" s="35"/>
      <c r="M104" s="3"/>
      <c r="N104" s="3"/>
      <c r="O104" s="3"/>
      <c r="P104" s="3"/>
    </row>
    <row r="105" spans="1:16" ht="102">
      <c r="A105" s="17" t="s">
        <v>20</v>
      </c>
      <c r="B105" s="21">
        <f>0.87*18935</f>
        <v>16473.45</v>
      </c>
      <c r="C105" s="21">
        <f>0.87*6388</f>
        <v>5557.56</v>
      </c>
      <c r="D105" s="21">
        <f>0.87*20153</f>
        <v>17533.11</v>
      </c>
      <c r="E105" s="21">
        <f>0.87*26954</f>
        <v>23449.98</v>
      </c>
      <c r="F105" s="21">
        <f>0.87*42336</f>
        <v>36832.32</v>
      </c>
      <c r="G105" s="21">
        <f>0.87*56762</f>
        <v>49382.94</v>
      </c>
      <c r="H105" s="21">
        <f>0.87*27257</f>
        <v>23713.59</v>
      </c>
      <c r="I105" s="21">
        <f>0.87*65000</f>
        <v>56550</v>
      </c>
      <c r="J105" s="35"/>
      <c r="K105" s="35"/>
      <c r="L105" s="35"/>
      <c r="M105" s="3"/>
      <c r="N105" s="3"/>
      <c r="O105" s="3"/>
      <c r="P105" s="3"/>
    </row>
    <row r="106" spans="1:16" ht="12.75">
      <c r="A106" s="3"/>
      <c r="B106" s="35"/>
      <c r="C106" s="35"/>
      <c r="D106" s="35"/>
      <c r="E106" s="35"/>
      <c r="F106" s="35"/>
      <c r="G106" s="35"/>
      <c r="H106" s="35"/>
      <c r="I106" s="3"/>
      <c r="J106" s="3"/>
      <c r="K106" s="3"/>
      <c r="L106" s="3"/>
      <c r="M106" s="3"/>
      <c r="N106" s="3"/>
      <c r="O106" s="3"/>
      <c r="P106" s="3"/>
    </row>
    <row r="107" spans="1:16" ht="51">
      <c r="A107" s="5" t="s">
        <v>5</v>
      </c>
      <c r="B107" s="23"/>
      <c r="C107" s="21">
        <f>0.87*19000</f>
        <v>16530</v>
      </c>
      <c r="D107" s="21">
        <f>0.87*19000</f>
        <v>16530</v>
      </c>
      <c r="E107" s="21">
        <f>0.87*19000</f>
        <v>16530</v>
      </c>
      <c r="F107" s="21">
        <f>0.87*19000</f>
        <v>16530</v>
      </c>
      <c r="G107" s="21">
        <f>0.87*19000</f>
        <v>16530</v>
      </c>
      <c r="H107" s="21">
        <f>0.87*65000</f>
        <v>56550</v>
      </c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38.25">
      <c r="A109" s="17" t="s">
        <v>21</v>
      </c>
      <c r="B109" s="21">
        <f>0.87*535855</f>
        <v>466193.85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51">
      <c r="A110" s="17" t="s">
        <v>22</v>
      </c>
      <c r="B110" s="21">
        <f>0.87*225000</f>
        <v>195750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18"/>
      <c r="B111" s="36"/>
      <c r="C111" s="3"/>
      <c r="D111" s="3"/>
      <c r="E111" s="3"/>
      <c r="F111" s="3"/>
      <c r="G111" s="3"/>
      <c r="H111" s="3"/>
      <c r="I111" s="14"/>
      <c r="J111" s="14"/>
      <c r="K111" s="14"/>
      <c r="L111" s="15"/>
      <c r="M111" s="3"/>
      <c r="N111" s="3"/>
      <c r="O111" s="3"/>
      <c r="P111" s="3"/>
    </row>
    <row r="112" spans="1:16" ht="12.75">
      <c r="A112" s="3" t="s">
        <v>46</v>
      </c>
      <c r="B112" s="3"/>
      <c r="C112" s="3"/>
      <c r="D112" s="3"/>
      <c r="E112" s="3"/>
      <c r="F112" s="3"/>
      <c r="G112" s="3"/>
      <c r="H112" s="3"/>
      <c r="I112" s="29">
        <v>2009</v>
      </c>
      <c r="J112" s="29">
        <v>2010</v>
      </c>
      <c r="K112" s="45">
        <v>2011</v>
      </c>
      <c r="L112" s="45"/>
      <c r="M112" s="3"/>
      <c r="N112" s="3"/>
      <c r="O112" s="3"/>
      <c r="P112" s="3"/>
    </row>
    <row r="113" spans="1:16" ht="17.25" customHeight="1">
      <c r="A113" s="14" t="s">
        <v>47</v>
      </c>
      <c r="B113" s="14"/>
      <c r="C113" s="14"/>
      <c r="D113" s="14"/>
      <c r="E113" s="14"/>
      <c r="F113" s="14"/>
      <c r="G113" s="14"/>
      <c r="H113" s="14"/>
      <c r="I113" s="21">
        <f>0.87*544831</f>
        <v>474002.97</v>
      </c>
      <c r="J113" s="21">
        <f>0.87*624414</f>
        <v>543240.18</v>
      </c>
      <c r="K113" s="42">
        <f>0.87*699375</f>
        <v>608456.25</v>
      </c>
      <c r="L113" s="42"/>
      <c r="M113" s="3"/>
      <c r="N113" s="3"/>
      <c r="O113" s="3"/>
      <c r="P113" s="3"/>
    </row>
    <row r="114" spans="1:16" ht="12.75">
      <c r="A114" s="29" t="s">
        <v>0</v>
      </c>
      <c r="B114" s="29">
        <v>2002</v>
      </c>
      <c r="C114" s="29">
        <v>2003</v>
      </c>
      <c r="D114" s="29">
        <v>2004</v>
      </c>
      <c r="E114" s="29">
        <v>2005</v>
      </c>
      <c r="F114" s="29">
        <v>2006</v>
      </c>
      <c r="G114" s="29">
        <v>2007</v>
      </c>
      <c r="H114" s="29">
        <v>2008</v>
      </c>
      <c r="I114" s="21">
        <f>0.87*388100</f>
        <v>337647</v>
      </c>
      <c r="J114" s="21">
        <f>0.87*416959</f>
        <v>362754.33</v>
      </c>
      <c r="K114" s="42">
        <f>0.87*460585</f>
        <v>400708.95</v>
      </c>
      <c r="L114" s="42"/>
      <c r="M114" s="3"/>
      <c r="N114" s="3"/>
      <c r="O114" s="3"/>
      <c r="P114" s="3"/>
    </row>
    <row r="115" spans="1:16" ht="38.25">
      <c r="A115" s="5" t="s">
        <v>9</v>
      </c>
      <c r="B115" s="21">
        <f>0.87*150150</f>
        <v>130630.5</v>
      </c>
      <c r="C115" s="21">
        <f>0.87*218667</f>
        <v>190240.29</v>
      </c>
      <c r="D115" s="21">
        <f>0.87*299300</f>
        <v>260391</v>
      </c>
      <c r="E115" s="21">
        <f>0.87*332920</f>
        <v>289640.4</v>
      </c>
      <c r="F115" s="21">
        <f>0.87*387601</f>
        <v>337212.87</v>
      </c>
      <c r="G115" s="21">
        <f>0.87*430569</f>
        <v>374595.02999999997</v>
      </c>
      <c r="H115" s="21">
        <f>0.87*475876</f>
        <v>414012.12</v>
      </c>
      <c r="I115" s="23"/>
      <c r="J115" s="23"/>
      <c r="K115" s="43"/>
      <c r="L115" s="43"/>
      <c r="M115" s="3"/>
      <c r="N115" s="3"/>
      <c r="O115" s="3"/>
      <c r="P115" s="3"/>
    </row>
    <row r="116" spans="1:16" ht="38.25">
      <c r="A116" s="5" t="s">
        <v>10</v>
      </c>
      <c r="B116" s="21">
        <f>0.87*126196</f>
        <v>109790.52</v>
      </c>
      <c r="C116" s="21">
        <f>0.87*186710</f>
        <v>162437.7</v>
      </c>
      <c r="D116" s="21">
        <f>0.87*248162</f>
        <v>215900.94</v>
      </c>
      <c r="E116" s="21">
        <f>0.87*271589</f>
        <v>236282.43</v>
      </c>
      <c r="F116" s="21">
        <f>0.87*303359</f>
        <v>263922.33</v>
      </c>
      <c r="G116" s="21">
        <f>0.87*324229</f>
        <v>282079.23</v>
      </c>
      <c r="H116" s="21">
        <f>0.87*349864</f>
        <v>304381.68</v>
      </c>
      <c r="I116" s="21">
        <f>0.87*281852</f>
        <v>245211.24</v>
      </c>
      <c r="J116" s="21">
        <f>0.87*310373</f>
        <v>270024.51</v>
      </c>
      <c r="K116" s="42">
        <f>0.87*352315</f>
        <v>306514.05</v>
      </c>
      <c r="L116" s="42"/>
      <c r="M116" s="3"/>
      <c r="N116" s="3"/>
      <c r="O116" s="3"/>
      <c r="P116" s="3"/>
    </row>
    <row r="117" spans="1:16" ht="12.75">
      <c r="A117" s="16" t="s">
        <v>11</v>
      </c>
      <c r="B117" s="23"/>
      <c r="C117" s="23"/>
      <c r="D117" s="23"/>
      <c r="E117" s="23"/>
      <c r="F117" s="23"/>
      <c r="G117" s="23"/>
      <c r="H117" s="23"/>
      <c r="I117" s="21">
        <f>0.87*23230</f>
        <v>20210.1</v>
      </c>
      <c r="J117" s="21">
        <f>0.87*23230</f>
        <v>20210.1</v>
      </c>
      <c r="K117" s="42">
        <f>0.87*23230</f>
        <v>20210.1</v>
      </c>
      <c r="L117" s="42"/>
      <c r="M117" s="3"/>
      <c r="N117" s="3"/>
      <c r="O117" s="3"/>
      <c r="P117" s="3"/>
    </row>
    <row r="118" spans="1:16" ht="25.5">
      <c r="A118" s="16" t="s">
        <v>12</v>
      </c>
      <c r="B118" s="21">
        <f>0.87*88460</f>
        <v>76960.2</v>
      </c>
      <c r="C118" s="21">
        <f>0.87*127504</f>
        <v>110928.48</v>
      </c>
      <c r="D118" s="21">
        <f>0.87*76158</f>
        <v>66257.46</v>
      </c>
      <c r="E118" s="21">
        <f>0.87*192934</f>
        <v>167852.58</v>
      </c>
      <c r="F118" s="21">
        <f>0.87*218100</f>
        <v>189747</v>
      </c>
      <c r="G118" s="21">
        <f>0.87*234877</f>
        <v>204342.99</v>
      </c>
      <c r="H118" s="21">
        <f>0.87*251654</f>
        <v>218938.98</v>
      </c>
      <c r="I118" s="21">
        <f>0.87*2750</f>
        <v>2392.5</v>
      </c>
      <c r="J118" s="21">
        <f>0.87*2753</f>
        <v>2395.11</v>
      </c>
      <c r="K118" s="42">
        <f>0.87*2841</f>
        <v>2471.67</v>
      </c>
      <c r="L118" s="42"/>
      <c r="M118" s="3"/>
      <c r="N118" s="3"/>
      <c r="O118" s="3"/>
      <c r="P118" s="3"/>
    </row>
    <row r="119" spans="1:16" ht="12.75">
      <c r="A119" s="16" t="s">
        <v>13</v>
      </c>
      <c r="B119" s="23">
        <f>0.87*730</f>
        <v>635.1</v>
      </c>
      <c r="C119" s="21">
        <f>0.87*2630</f>
        <v>2288.1</v>
      </c>
      <c r="D119" s="21">
        <f>0.87*4530</f>
        <v>3941.1</v>
      </c>
      <c r="E119" s="21">
        <f>0.87*6430</f>
        <v>5594.1</v>
      </c>
      <c r="F119" s="21">
        <f>0.87*8330</f>
        <v>7247.1</v>
      </c>
      <c r="G119" s="21">
        <f>0.87*10230</f>
        <v>8900.1</v>
      </c>
      <c r="H119" s="21">
        <f>0.87*16730</f>
        <v>14555.1</v>
      </c>
      <c r="I119" s="23">
        <f>0.87*133</f>
        <v>115.71</v>
      </c>
      <c r="J119" s="23">
        <f>0.87*126</f>
        <v>109.62</v>
      </c>
      <c r="K119" s="43">
        <f>0.87*105</f>
        <v>91.35</v>
      </c>
      <c r="L119" s="43"/>
      <c r="M119" s="3"/>
      <c r="N119" s="3"/>
      <c r="O119" s="3"/>
      <c r="P119" s="3"/>
    </row>
    <row r="120" spans="1:16" ht="25.5">
      <c r="A120" s="16" t="s">
        <v>14</v>
      </c>
      <c r="B120" s="21">
        <f>0.87*1682</f>
        <v>1463.34</v>
      </c>
      <c r="C120" s="21">
        <f>0.87*2204</f>
        <v>1917.48</v>
      </c>
      <c r="D120" s="21">
        <f>0.87*2768</f>
        <v>2408.16</v>
      </c>
      <c r="E120" s="21">
        <f>0.87*2756</f>
        <v>2397.72</v>
      </c>
      <c r="F120" s="21">
        <f>0.87*2832</f>
        <v>2463.84</v>
      </c>
      <c r="G120" s="21">
        <f>0.87*2773</f>
        <v>2412.5099999999998</v>
      </c>
      <c r="H120" s="21">
        <f>0.87*2701</f>
        <v>2349.87</v>
      </c>
      <c r="I120" s="21">
        <f>0.87*7408</f>
        <v>6444.96</v>
      </c>
      <c r="J120" s="21">
        <f>0.87*5781</f>
        <v>5029.47</v>
      </c>
      <c r="K120" s="42">
        <f>0.87*4389</f>
        <v>3818.43</v>
      </c>
      <c r="L120" s="42"/>
      <c r="M120" s="3"/>
      <c r="N120" s="3"/>
      <c r="O120" s="3"/>
      <c r="P120" s="3"/>
    </row>
    <row r="121" spans="1:16" ht="25.5">
      <c r="A121" s="16" t="s">
        <v>15</v>
      </c>
      <c r="B121" s="23">
        <v>0</v>
      </c>
      <c r="C121" s="23">
        <f>0.87*460</f>
        <v>400.2</v>
      </c>
      <c r="D121" s="23">
        <f>0.87*336</f>
        <v>292.32</v>
      </c>
      <c r="E121" s="23">
        <f>0.87*172</f>
        <v>149.64</v>
      </c>
      <c r="F121" s="23">
        <f>0.87*259</f>
        <v>225.33</v>
      </c>
      <c r="G121" s="23">
        <f>0.87*212</f>
        <v>184.44</v>
      </c>
      <c r="H121" s="23">
        <f>0.87*165</f>
        <v>143.55</v>
      </c>
      <c r="I121" s="21">
        <f>0.87*156731</f>
        <v>136355.97</v>
      </c>
      <c r="J121" s="21">
        <f>0.87*207455</f>
        <v>180485.85</v>
      </c>
      <c r="K121" s="42">
        <f>0.87*238790</f>
        <v>207747.3</v>
      </c>
      <c r="L121" s="42"/>
      <c r="M121" s="3"/>
      <c r="N121" s="3"/>
      <c r="O121" s="3"/>
      <c r="P121" s="3"/>
    </row>
    <row r="122" spans="1:16" ht="25.5">
      <c r="A122" s="16" t="s">
        <v>16</v>
      </c>
      <c r="B122" s="23">
        <f>0.87*893</f>
        <v>776.91</v>
      </c>
      <c r="C122" s="21">
        <f>0.87*2203</f>
        <v>1916.61</v>
      </c>
      <c r="D122" s="21">
        <f>0.87*3055</f>
        <v>2657.85</v>
      </c>
      <c r="E122" s="21">
        <f>0.87*3608</f>
        <v>3138.96</v>
      </c>
      <c r="F122" s="21">
        <f>0.87*3921</f>
        <v>3411.27</v>
      </c>
      <c r="G122" s="21">
        <f>0.87*4044</f>
        <v>3518.28</v>
      </c>
      <c r="H122" s="21">
        <f>0.87*6074</f>
        <v>5284.38</v>
      </c>
      <c r="I122" s="21">
        <f>0.87*37615</f>
        <v>32725.05</v>
      </c>
      <c r="J122" s="21">
        <f>0.87*49789</f>
        <v>43316.43</v>
      </c>
      <c r="K122" s="42">
        <f>0.87*57310</f>
        <v>49859.7</v>
      </c>
      <c r="L122" s="42"/>
      <c r="M122" s="3"/>
      <c r="N122" s="3"/>
      <c r="O122" s="3"/>
      <c r="P122" s="3"/>
    </row>
    <row r="123" spans="1:16" ht="25.5">
      <c r="A123" s="5" t="s">
        <v>17</v>
      </c>
      <c r="B123" s="21">
        <f>0.87*23954</f>
        <v>20839.98</v>
      </c>
      <c r="C123" s="21">
        <f>0.87*31957</f>
        <v>27802.59</v>
      </c>
      <c r="D123" s="21">
        <f>0.87*51138</f>
        <v>44490.06</v>
      </c>
      <c r="E123" s="21">
        <f>0.87*61331</f>
        <v>53357.97</v>
      </c>
      <c r="F123" s="21">
        <f>0.87*84243</f>
        <v>73291.41</v>
      </c>
      <c r="G123" s="21">
        <f>0.87*106340</f>
        <v>92515.8</v>
      </c>
      <c r="H123" s="21">
        <f>0.87*126011</f>
        <v>109629.56999999999</v>
      </c>
      <c r="I123" s="25">
        <f>0.87*119115</f>
        <v>103630.05</v>
      </c>
      <c r="J123" s="25">
        <f>0.87*157666</f>
        <v>137169.42</v>
      </c>
      <c r="K123" s="44">
        <f>0.87*181481</f>
        <v>157888.47</v>
      </c>
      <c r="L123" s="44"/>
      <c r="M123" s="3"/>
      <c r="N123" s="3"/>
      <c r="O123" s="3"/>
      <c r="P123" s="3"/>
    </row>
    <row r="124" spans="1:16" ht="25.5">
      <c r="A124" s="5" t="s">
        <v>18</v>
      </c>
      <c r="B124" s="21">
        <f>0.87*5749</f>
        <v>5001.63</v>
      </c>
      <c r="C124" s="21">
        <f>0.87*7670</f>
        <v>6672.9</v>
      </c>
      <c r="D124" s="21">
        <f>0.87*12273</f>
        <v>10677.51</v>
      </c>
      <c r="E124" s="21">
        <f>0.87*14719</f>
        <v>12805.53</v>
      </c>
      <c r="F124" s="21">
        <f>0.87*20218</f>
        <v>17589.66</v>
      </c>
      <c r="G124" s="21">
        <f>0.87*25522</f>
        <v>22204.14</v>
      </c>
      <c r="H124" s="21">
        <f>0.87*30243</f>
        <v>26311.41</v>
      </c>
      <c r="I124" s="21">
        <f>0.87*77345</f>
        <v>67290.15</v>
      </c>
      <c r="J124" s="21">
        <f>0.87*180895</f>
        <v>157378.65</v>
      </c>
      <c r="K124" s="42">
        <f>204710*0.87</f>
        <v>178097.7</v>
      </c>
      <c r="L124" s="42"/>
      <c r="M124" s="3"/>
      <c r="N124" s="3"/>
      <c r="O124" s="3"/>
      <c r="P124" s="3"/>
    </row>
    <row r="125" spans="1:16" ht="63.75">
      <c r="A125" s="17" t="s">
        <v>19</v>
      </c>
      <c r="B125" s="25">
        <f>0.87*18205</f>
        <v>15838.35</v>
      </c>
      <c r="C125" s="25">
        <f>0.87*24288</f>
        <v>21130.56</v>
      </c>
      <c r="D125" s="25">
        <f>0.87*38865</f>
        <v>33812.55</v>
      </c>
      <c r="E125" s="25">
        <f>0.87*46612</f>
        <v>40552.44</v>
      </c>
      <c r="F125" s="25">
        <f>0.87*64024</f>
        <v>55700.88</v>
      </c>
      <c r="G125" s="25">
        <f>0.87*80818</f>
        <v>70311.66</v>
      </c>
      <c r="H125" s="25">
        <f>0.87*95769</f>
        <v>83319.03</v>
      </c>
      <c r="I125" s="35"/>
      <c r="J125" s="35"/>
      <c r="K125" s="35"/>
      <c r="L125" s="35"/>
      <c r="M125" s="3"/>
      <c r="N125" s="3"/>
      <c r="O125" s="3"/>
      <c r="P125" s="3"/>
    </row>
    <row r="126" spans="1:16" ht="102">
      <c r="A126" s="17" t="s">
        <v>20</v>
      </c>
      <c r="B126" s="21">
        <f>0.87*18935</f>
        <v>16473.45</v>
      </c>
      <c r="C126" s="21">
        <f>0.87*7917</f>
        <v>6887.79</v>
      </c>
      <c r="D126" s="21">
        <f>0.87*24395</f>
        <v>21223.65</v>
      </c>
      <c r="E126" s="21">
        <f>0.87*34041</f>
        <v>29615.67</v>
      </c>
      <c r="F126" s="21">
        <f>0.87*53354</f>
        <v>46417.98</v>
      </c>
      <c r="G126" s="21">
        <f>0.87*72048</f>
        <v>62681.76</v>
      </c>
      <c r="H126" s="21">
        <f>0.87*47498</f>
        <v>41323.26</v>
      </c>
      <c r="I126" s="21">
        <f>0.87*65000</f>
        <v>56550</v>
      </c>
      <c r="J126" s="35"/>
      <c r="K126" s="35"/>
      <c r="L126" s="35"/>
      <c r="M126" s="3"/>
      <c r="N126" s="3"/>
      <c r="O126" s="3"/>
      <c r="P126" s="3"/>
    </row>
    <row r="127" spans="1:16" ht="12.75">
      <c r="A127" s="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"/>
      <c r="N127" s="3"/>
      <c r="O127" s="3"/>
      <c r="P127" s="3"/>
    </row>
    <row r="128" spans="1:16" ht="51">
      <c r="A128" s="5" t="s">
        <v>5</v>
      </c>
      <c r="B128" s="23"/>
      <c r="C128" s="21">
        <f>0.87*19000</f>
        <v>16530</v>
      </c>
      <c r="D128" s="21">
        <f>0.87*19000</f>
        <v>16530</v>
      </c>
      <c r="E128" s="21">
        <f>0.87*19000</f>
        <v>16530</v>
      </c>
      <c r="F128" s="21">
        <f>0.87*19000</f>
        <v>16530</v>
      </c>
      <c r="G128" s="21">
        <f>0.87*19000</f>
        <v>16530</v>
      </c>
      <c r="H128" s="21">
        <f>0.87*65000</f>
        <v>56550</v>
      </c>
      <c r="I128" s="35"/>
      <c r="J128" s="35"/>
      <c r="K128" s="35"/>
      <c r="L128" s="35"/>
      <c r="M128" s="3"/>
      <c r="N128" s="3"/>
      <c r="O128" s="3"/>
      <c r="P128" s="3"/>
    </row>
    <row r="129" spans="1:16" ht="12.75">
      <c r="A129" s="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"/>
      <c r="N129" s="3"/>
      <c r="O129" s="3"/>
      <c r="P129" s="3"/>
    </row>
    <row r="130" spans="1:16" ht="39" customHeight="1">
      <c r="A130" s="17" t="s">
        <v>21</v>
      </c>
      <c r="B130" s="21">
        <f>0.87*702203</f>
        <v>610916.61</v>
      </c>
      <c r="C130" s="35"/>
      <c r="D130" s="35"/>
      <c r="E130" s="35"/>
      <c r="F130" s="35"/>
      <c r="G130" s="35"/>
      <c r="H130" s="35"/>
      <c r="I130" s="3"/>
      <c r="J130" s="3"/>
      <c r="K130" s="3"/>
      <c r="L130" s="3"/>
      <c r="M130" s="3"/>
      <c r="N130" s="3"/>
      <c r="O130" s="3"/>
      <c r="P130" s="3"/>
    </row>
    <row r="131" spans="1:16" ht="51">
      <c r="A131" s="17" t="s">
        <v>22</v>
      </c>
      <c r="B131" s="21">
        <f>0.87*225000</f>
        <v>195750</v>
      </c>
      <c r="C131" s="35"/>
      <c r="D131" s="35"/>
      <c r="E131" s="35"/>
      <c r="F131" s="35"/>
      <c r="G131" s="35"/>
      <c r="H131" s="35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 t="s">
        <v>48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40" t="s">
        <v>49</v>
      </c>
      <c r="B134" s="40"/>
      <c r="C134" s="40"/>
      <c r="D134" s="40"/>
      <c r="E134" s="40"/>
      <c r="F134" s="40"/>
      <c r="G134" s="40"/>
      <c r="H134" s="40"/>
      <c r="I134" s="3"/>
      <c r="J134" s="3"/>
      <c r="K134" s="3"/>
      <c r="L134" s="3"/>
      <c r="M134" s="3"/>
      <c r="N134" s="3"/>
      <c r="O134" s="3"/>
      <c r="P134" s="3"/>
    </row>
    <row r="135" spans="1:16" ht="48.75" customHeight="1">
      <c r="A135" s="1" t="s">
        <v>21</v>
      </c>
      <c r="B135" s="37">
        <f>112089*0.87</f>
        <v>97517.43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61.5" customHeight="1">
      <c r="A136" s="1" t="s">
        <v>22</v>
      </c>
      <c r="B136" s="37">
        <f>0.87*225000</f>
        <v>195750</v>
      </c>
      <c r="C136" s="3"/>
      <c r="D136" s="3"/>
      <c r="E136" s="3"/>
      <c r="F136" s="3"/>
      <c r="G136" s="3"/>
      <c r="H136" s="3"/>
      <c r="I136" s="12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27.75" customHeight="1">
      <c r="A138" s="12" t="s">
        <v>50</v>
      </c>
      <c r="B138" s="12"/>
      <c r="C138" s="12"/>
      <c r="D138" s="12"/>
      <c r="E138" s="12"/>
      <c r="F138" s="12"/>
      <c r="G138" s="12"/>
      <c r="H138" s="12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40" t="s">
        <v>51</v>
      </c>
      <c r="B139" s="40"/>
      <c r="C139" s="40"/>
      <c r="D139" s="40"/>
      <c r="E139" s="40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60">
      <c r="A140" s="1" t="s">
        <v>21</v>
      </c>
      <c r="B140" s="37">
        <f>0.87*204634</f>
        <v>178031.58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60">
      <c r="A141" s="1" t="s">
        <v>22</v>
      </c>
      <c r="B141" s="37">
        <f>0.87*225000</f>
        <v>195750</v>
      </c>
      <c r="C141" s="3"/>
      <c r="D141" s="3"/>
      <c r="E141" s="3"/>
      <c r="F141" s="3"/>
      <c r="G141" s="3"/>
      <c r="H141" s="3"/>
      <c r="I141" s="12"/>
      <c r="J141" s="12"/>
      <c r="K141" s="1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39" customHeight="1">
      <c r="A143" s="12" t="s">
        <v>52</v>
      </c>
      <c r="B143" s="12"/>
      <c r="C143" s="12"/>
      <c r="D143" s="12"/>
      <c r="E143" s="12"/>
      <c r="F143" s="12"/>
      <c r="G143" s="12"/>
      <c r="H143" s="12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 t="s">
        <v>53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25.5">
      <c r="A145" s="4" t="s">
        <v>0</v>
      </c>
      <c r="B145" s="4" t="s">
        <v>23</v>
      </c>
      <c r="C145" s="4" t="s">
        <v>34</v>
      </c>
      <c r="D145" s="4" t="s">
        <v>2</v>
      </c>
      <c r="E145" s="4" t="s">
        <v>25</v>
      </c>
      <c r="F145" s="4" t="s">
        <v>3</v>
      </c>
      <c r="G145" s="4" t="s">
        <v>4</v>
      </c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5">
        <v>2003</v>
      </c>
      <c r="B146" s="6">
        <f>0.87*10</f>
        <v>8.7</v>
      </c>
      <c r="C146" s="6">
        <f>0.87*440</f>
        <v>382.8</v>
      </c>
      <c r="D146" s="6">
        <f>0.87*130</f>
        <v>113.1</v>
      </c>
      <c r="E146" s="6">
        <f>0.87*20</f>
        <v>17.4</v>
      </c>
      <c r="F146" s="6">
        <f>0.87*40</f>
        <v>34.8</v>
      </c>
      <c r="G146" s="6">
        <f>0.87*640</f>
        <v>556.8</v>
      </c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5">
        <v>2004</v>
      </c>
      <c r="B147" s="6">
        <f>0.87*15</f>
        <v>13.05</v>
      </c>
      <c r="C147" s="6">
        <f>0.87*515</f>
        <v>448.05</v>
      </c>
      <c r="D147" s="6">
        <f>0.87*195</f>
        <v>169.65</v>
      </c>
      <c r="E147" s="6">
        <f>0.87*35</f>
        <v>30.45</v>
      </c>
      <c r="F147" s="6">
        <f>0.87*40</f>
        <v>34.8</v>
      </c>
      <c r="G147" s="6">
        <f>0.87*800</f>
        <v>696</v>
      </c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5">
        <v>2005</v>
      </c>
      <c r="B148" s="6">
        <f>0.87*15</f>
        <v>13.05</v>
      </c>
      <c r="C148" s="6">
        <f>0.87*550</f>
        <v>478.5</v>
      </c>
      <c r="D148" s="6">
        <f>0.87*225</f>
        <v>195.75</v>
      </c>
      <c r="E148" s="6">
        <f>0.87*35</f>
        <v>30.45</v>
      </c>
      <c r="F148" s="6">
        <f>0.87*50</f>
        <v>43.5</v>
      </c>
      <c r="G148" s="6">
        <f>0.87*875</f>
        <v>761.25</v>
      </c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5">
        <v>2006</v>
      </c>
      <c r="B149" s="6">
        <f>0.87*20</f>
        <v>17.4</v>
      </c>
      <c r="C149" s="6">
        <f>0.87*650</f>
        <v>565.5</v>
      </c>
      <c r="D149" s="6">
        <f>0.87*225</f>
        <v>195.75</v>
      </c>
      <c r="E149" s="6">
        <f>0.87*40</f>
        <v>34.8</v>
      </c>
      <c r="F149" s="6">
        <f>0.87*65</f>
        <v>56.55</v>
      </c>
      <c r="G149" s="6">
        <f>0.87*1000</f>
        <v>870</v>
      </c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5">
        <v>2007</v>
      </c>
      <c r="B150" s="6">
        <f>0.87*25</f>
        <v>21.75</v>
      </c>
      <c r="C150" s="6">
        <f>0.87*705</f>
        <v>613.35</v>
      </c>
      <c r="D150" s="6">
        <f>0.87*250</f>
        <v>217.5</v>
      </c>
      <c r="E150" s="6">
        <f>0.87*50</f>
        <v>43.5</v>
      </c>
      <c r="F150" s="6">
        <f>0.87*70</f>
        <v>60.9</v>
      </c>
      <c r="G150" s="6">
        <f>0.87*1100</f>
        <v>957</v>
      </c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5">
        <v>2008</v>
      </c>
      <c r="B151" s="6">
        <f>0.87*35</f>
        <v>30.45</v>
      </c>
      <c r="C151" s="6">
        <f>0.87*755</f>
        <v>656.85</v>
      </c>
      <c r="D151" s="6">
        <f>0.87*265</f>
        <v>230.55</v>
      </c>
      <c r="E151" s="6">
        <f>0.87*50</f>
        <v>43.5</v>
      </c>
      <c r="F151" s="6">
        <f>0.87*70</f>
        <v>60.9</v>
      </c>
      <c r="G151" s="6">
        <f>0.87*1175</f>
        <v>1022.25</v>
      </c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5">
        <v>2009</v>
      </c>
      <c r="B152" s="6">
        <f>0.87*35</f>
        <v>30.45</v>
      </c>
      <c r="C152" s="6">
        <f>0.87*835</f>
        <v>726.45</v>
      </c>
      <c r="D152" s="6">
        <f>0.87*280</f>
        <v>243.6</v>
      </c>
      <c r="E152" s="6">
        <f>0.87*65</f>
        <v>56.55</v>
      </c>
      <c r="F152" s="6">
        <f>0.87*75</f>
        <v>65.25</v>
      </c>
      <c r="G152" s="6">
        <f>0.87*1290</f>
        <v>1122.3</v>
      </c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5">
        <v>2010</v>
      </c>
      <c r="B153" s="6">
        <f>0.87*45</f>
        <v>39.15</v>
      </c>
      <c r="C153" s="6">
        <f>0.87*940</f>
        <v>817.8</v>
      </c>
      <c r="D153" s="6">
        <f>0.87*290</f>
        <v>252.3</v>
      </c>
      <c r="E153" s="6">
        <f>0.87*75</f>
        <v>65.25</v>
      </c>
      <c r="F153" s="6">
        <f>0.87*75</f>
        <v>65.25</v>
      </c>
      <c r="G153" s="6">
        <f>0.87*1425</f>
        <v>1239.75</v>
      </c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5">
        <v>2011</v>
      </c>
      <c r="B154" s="6">
        <f>0.87*50</f>
        <v>43.5</v>
      </c>
      <c r="C154" s="6">
        <f>0.87*1000</f>
        <v>870</v>
      </c>
      <c r="D154" s="6">
        <f>0.87*300</f>
        <v>261</v>
      </c>
      <c r="E154" s="6">
        <f>0.87*75</f>
        <v>65.25</v>
      </c>
      <c r="F154" s="6">
        <f>0.87*75</f>
        <v>65.25</v>
      </c>
      <c r="G154" s="6">
        <f>0.87*1500</f>
        <v>1305</v>
      </c>
      <c r="H154" s="3"/>
      <c r="I154" s="12"/>
      <c r="J154" s="12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39" customHeight="1">
      <c r="A156" s="12" t="s">
        <v>54</v>
      </c>
      <c r="B156" s="12"/>
      <c r="C156" s="12"/>
      <c r="D156" s="12"/>
      <c r="E156" s="12"/>
      <c r="F156" s="12"/>
      <c r="G156" s="12"/>
      <c r="H156" s="12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8">
        <v>2010</v>
      </c>
      <c r="J157" s="8">
        <v>2011</v>
      </c>
      <c r="K157" s="3"/>
      <c r="L157" s="3"/>
      <c r="M157" s="3"/>
      <c r="N157" s="3"/>
      <c r="O157" s="3"/>
      <c r="P157" s="3"/>
    </row>
    <row r="158" spans="1:16" ht="12.75">
      <c r="A158" s="3" t="s">
        <v>55</v>
      </c>
      <c r="B158" s="3"/>
      <c r="C158" s="3"/>
      <c r="D158" s="3"/>
      <c r="E158" s="3"/>
      <c r="F158" s="3"/>
      <c r="G158" s="3"/>
      <c r="H158" s="3"/>
      <c r="I158" s="30">
        <v>0</v>
      </c>
      <c r="J158" s="30">
        <v>0</v>
      </c>
      <c r="K158" s="3"/>
      <c r="L158" s="3"/>
      <c r="M158" s="3"/>
      <c r="N158" s="3"/>
      <c r="O158" s="3"/>
      <c r="P158" s="3"/>
    </row>
    <row r="159" spans="1:16" ht="12.75">
      <c r="A159" s="8" t="s">
        <v>0</v>
      </c>
      <c r="B159" s="8">
        <v>2003</v>
      </c>
      <c r="C159" s="8">
        <v>2004</v>
      </c>
      <c r="D159" s="8">
        <v>2005</v>
      </c>
      <c r="E159" s="8">
        <v>2006</v>
      </c>
      <c r="F159" s="8">
        <v>2007</v>
      </c>
      <c r="G159" s="8">
        <v>2008</v>
      </c>
      <c r="H159" s="8">
        <v>2009</v>
      </c>
      <c r="I159" s="26">
        <f>0.87*6</f>
        <v>5.22</v>
      </c>
      <c r="J159" s="26">
        <f>0.87*6</f>
        <v>5.22</v>
      </c>
      <c r="K159" s="3"/>
      <c r="L159" s="3"/>
      <c r="M159" s="3"/>
      <c r="N159" s="3"/>
      <c r="O159" s="3"/>
      <c r="P159" s="3"/>
    </row>
    <row r="160" spans="1:16" ht="51">
      <c r="A160" s="9" t="s">
        <v>5</v>
      </c>
      <c r="B160" s="26">
        <f>0.87*4.4</f>
        <v>3.8280000000000003</v>
      </c>
      <c r="C160" s="26">
        <f>0.87*4.4</f>
        <v>3.8280000000000003</v>
      </c>
      <c r="D160" s="26">
        <f>0.87*4.4</f>
        <v>3.8280000000000003</v>
      </c>
      <c r="E160" s="26">
        <f>0.87*4.4</f>
        <v>3.8280000000000003</v>
      </c>
      <c r="F160" s="26">
        <f>0.87*4.4</f>
        <v>3.8280000000000003</v>
      </c>
      <c r="G160" s="26">
        <f>0.87*27</f>
        <v>23.49</v>
      </c>
      <c r="H160" s="30">
        <v>0</v>
      </c>
      <c r="I160" s="26">
        <f>6.75*0.87</f>
        <v>5.8725</v>
      </c>
      <c r="J160" s="26">
        <f>6.75*0.87</f>
        <v>5.8725</v>
      </c>
      <c r="K160" s="3"/>
      <c r="L160" s="3"/>
      <c r="M160" s="3"/>
      <c r="N160" s="3"/>
      <c r="O160" s="3"/>
      <c r="P160" s="3"/>
    </row>
    <row r="161" spans="1:16" ht="38.25">
      <c r="A161" s="9" t="s">
        <v>6</v>
      </c>
      <c r="B161" s="26">
        <f>0.87*4.2</f>
        <v>3.654</v>
      </c>
      <c r="C161" s="26">
        <f>0.87*4.2</f>
        <v>3.654</v>
      </c>
      <c r="D161" s="26">
        <f>0.87*4.2</f>
        <v>3.654</v>
      </c>
      <c r="E161" s="26">
        <f>0.87*4.2</f>
        <v>3.654</v>
      </c>
      <c r="F161" s="26">
        <f>0.87*4.2</f>
        <v>3.654</v>
      </c>
      <c r="G161" s="26">
        <f>0.87*6</f>
        <v>5.22</v>
      </c>
      <c r="H161" s="26">
        <f>0.87*6</f>
        <v>5.22</v>
      </c>
      <c r="I161" s="3"/>
      <c r="J161" s="3"/>
      <c r="K161" s="3"/>
      <c r="L161" s="3"/>
      <c r="M161" s="3"/>
      <c r="N161" s="3"/>
      <c r="O161" s="3"/>
      <c r="P161" s="3"/>
    </row>
    <row r="162" spans="1:16" ht="76.5">
      <c r="A162" s="9" t="s">
        <v>7</v>
      </c>
      <c r="B162" s="26">
        <f>0.87*5.4</f>
        <v>4.698</v>
      </c>
      <c r="C162" s="26">
        <f>0.87*5.4</f>
        <v>4.698</v>
      </c>
      <c r="D162" s="26">
        <f>0.87*5.4</f>
        <v>4.698</v>
      </c>
      <c r="E162" s="26">
        <f>0.87*5.4</f>
        <v>4.698</v>
      </c>
      <c r="F162" s="26">
        <f>0.87*5.4</f>
        <v>4.698</v>
      </c>
      <c r="G162" s="26">
        <f>6.75*0.87</f>
        <v>5.8725</v>
      </c>
      <c r="H162" s="26">
        <f>6.75*0.87</f>
        <v>5.8725</v>
      </c>
      <c r="I162" s="38"/>
      <c r="J162" s="38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8">
        <v>2010</v>
      </c>
      <c r="J163" s="8">
        <v>2011</v>
      </c>
      <c r="K163" s="3"/>
      <c r="L163" s="3"/>
      <c r="M163" s="3"/>
      <c r="N163" s="3"/>
      <c r="O163" s="3"/>
      <c r="P163" s="3"/>
    </row>
    <row r="164" spans="1:16" ht="12.75">
      <c r="A164" s="38" t="s">
        <v>56</v>
      </c>
      <c r="B164" s="38"/>
      <c r="C164" s="38"/>
      <c r="D164" s="38"/>
      <c r="E164" s="38"/>
      <c r="F164" s="38"/>
      <c r="G164" s="38"/>
      <c r="H164" s="38"/>
      <c r="I164" s="26">
        <v>0</v>
      </c>
      <c r="J164" s="26">
        <v>0</v>
      </c>
      <c r="K164" s="3"/>
      <c r="L164" s="3"/>
      <c r="M164" s="3"/>
      <c r="N164" s="3"/>
      <c r="O164" s="3"/>
      <c r="P164" s="3"/>
    </row>
    <row r="165" spans="1:16" ht="12.75">
      <c r="A165" s="8" t="s">
        <v>0</v>
      </c>
      <c r="B165" s="8">
        <v>2003</v>
      </c>
      <c r="C165" s="8">
        <v>2004</v>
      </c>
      <c r="D165" s="8">
        <v>2005</v>
      </c>
      <c r="E165" s="8">
        <v>2006</v>
      </c>
      <c r="F165" s="8">
        <v>2007</v>
      </c>
      <c r="G165" s="8">
        <v>2008</v>
      </c>
      <c r="H165" s="8">
        <v>2009</v>
      </c>
      <c r="I165" s="26">
        <f>0.87*9.25</f>
        <v>8.0475</v>
      </c>
      <c r="J165" s="26">
        <f>0.87*9.25</f>
        <v>8.0475</v>
      </c>
      <c r="K165" s="3"/>
      <c r="L165" s="3"/>
      <c r="M165" s="3"/>
      <c r="N165" s="3"/>
      <c r="O165" s="3"/>
      <c r="P165" s="3"/>
    </row>
    <row r="166" spans="1:16" ht="51">
      <c r="A166" s="9" t="s">
        <v>5</v>
      </c>
      <c r="B166" s="26">
        <f>0.87*6.4</f>
        <v>5.5680000000000005</v>
      </c>
      <c r="C166" s="26">
        <f>0.87*6.4</f>
        <v>5.5680000000000005</v>
      </c>
      <c r="D166" s="26">
        <f>0.87*6.4</f>
        <v>5.5680000000000005</v>
      </c>
      <c r="E166" s="26">
        <f>0.87*6.4</f>
        <v>5.5680000000000005</v>
      </c>
      <c r="F166" s="26">
        <f>0.87*6.4</f>
        <v>5.5680000000000005</v>
      </c>
      <c r="G166" s="26">
        <f>0.87*40</f>
        <v>34.8</v>
      </c>
      <c r="H166" s="26">
        <v>0</v>
      </c>
      <c r="I166" s="26">
        <f>0.87*10</f>
        <v>8.7</v>
      </c>
      <c r="J166" s="26">
        <f>0.87*10</f>
        <v>8.7</v>
      </c>
      <c r="K166" s="3"/>
      <c r="L166" s="3"/>
      <c r="M166" s="3"/>
      <c r="N166" s="3"/>
      <c r="O166" s="3"/>
      <c r="P166" s="3"/>
    </row>
    <row r="167" spans="1:16" ht="38.25">
      <c r="A167" s="9" t="s">
        <v>6</v>
      </c>
      <c r="B167" s="26">
        <f>6.2*0.87</f>
        <v>5.394</v>
      </c>
      <c r="C167" s="26">
        <f>6.2*0.87</f>
        <v>5.394</v>
      </c>
      <c r="D167" s="26">
        <f>6.2*0.87</f>
        <v>5.394</v>
      </c>
      <c r="E167" s="26">
        <f>6.2*0.87</f>
        <v>5.394</v>
      </c>
      <c r="F167" s="26">
        <f>6.2*0.87</f>
        <v>5.394</v>
      </c>
      <c r="G167" s="26">
        <f>0.87*9.25</f>
        <v>8.0475</v>
      </c>
      <c r="H167" s="26">
        <f>0.87*9.25</f>
        <v>8.0475</v>
      </c>
      <c r="I167" s="3"/>
      <c r="J167" s="3"/>
      <c r="K167" s="3"/>
      <c r="L167" s="3"/>
      <c r="M167" s="3"/>
      <c r="N167" s="3"/>
      <c r="O167" s="3"/>
      <c r="P167" s="3"/>
    </row>
    <row r="168" spans="1:16" ht="76.5">
      <c r="A168" s="9" t="s">
        <v>7</v>
      </c>
      <c r="B168" s="26">
        <f>0.87*7.4</f>
        <v>6.438000000000001</v>
      </c>
      <c r="C168" s="26">
        <f>0.87*7.4</f>
        <v>6.438000000000001</v>
      </c>
      <c r="D168" s="26">
        <f>0.87*7.4</f>
        <v>6.438000000000001</v>
      </c>
      <c r="E168" s="26">
        <f>0.87*7.4</f>
        <v>6.438000000000001</v>
      </c>
      <c r="F168" s="26">
        <f>0.87*7.4</f>
        <v>6.438000000000001</v>
      </c>
      <c r="G168" s="26">
        <f>0.87*10</f>
        <v>8.7</v>
      </c>
      <c r="H168" s="26">
        <f>0.87*10</f>
        <v>8.7</v>
      </c>
      <c r="I168" s="39"/>
      <c r="J168" s="39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24.75" customHeight="1">
      <c r="A170" s="39" t="s">
        <v>57</v>
      </c>
      <c r="B170" s="39"/>
      <c r="C170" s="39"/>
      <c r="D170" s="39"/>
      <c r="E170" s="39"/>
      <c r="F170" s="39"/>
      <c r="G170" s="39"/>
      <c r="H170" s="39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</sheetData>
  <sheetProtection/>
  <mergeCells count="42">
    <mergeCell ref="K121:L121"/>
    <mergeCell ref="K122:L122"/>
    <mergeCell ref="K123:L123"/>
    <mergeCell ref="K124:L124"/>
    <mergeCell ref="K115:L115"/>
    <mergeCell ref="K116:L116"/>
    <mergeCell ref="K117:L117"/>
    <mergeCell ref="K118:L118"/>
    <mergeCell ref="K119:L119"/>
    <mergeCell ref="K120:L120"/>
    <mergeCell ref="K102:L102"/>
    <mergeCell ref="K103:L103"/>
    <mergeCell ref="K112:L112"/>
    <mergeCell ref="K113:L113"/>
    <mergeCell ref="K114:L114"/>
    <mergeCell ref="K96:L96"/>
    <mergeCell ref="K97:L97"/>
    <mergeCell ref="K98:L98"/>
    <mergeCell ref="K99:L99"/>
    <mergeCell ref="K100:L100"/>
    <mergeCell ref="K101:L101"/>
    <mergeCell ref="K42:L42"/>
    <mergeCell ref="K43:L43"/>
    <mergeCell ref="K91:L91"/>
    <mergeCell ref="K92:L92"/>
    <mergeCell ref="K93:L93"/>
    <mergeCell ref="K94:L94"/>
    <mergeCell ref="K95:L95"/>
    <mergeCell ref="K36:L36"/>
    <mergeCell ref="K37:L37"/>
    <mergeCell ref="K38:L38"/>
    <mergeCell ref="K39:L39"/>
    <mergeCell ref="K40:L40"/>
    <mergeCell ref="K41:L41"/>
    <mergeCell ref="A1:H2"/>
    <mergeCell ref="K31:L31"/>
    <mergeCell ref="K32:L32"/>
    <mergeCell ref="K33:L33"/>
    <mergeCell ref="K34:L34"/>
    <mergeCell ref="K35:L35"/>
    <mergeCell ref="A139:E139"/>
    <mergeCell ref="A134:H134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Bill</cp:lastModifiedBy>
  <dcterms:created xsi:type="dcterms:W3CDTF">1996-10-08T23:32:33Z</dcterms:created>
  <dcterms:modified xsi:type="dcterms:W3CDTF">2011-11-23T05:52:36Z</dcterms:modified>
  <cp:category/>
  <cp:version/>
  <cp:contentType/>
  <cp:contentStatus/>
</cp:coreProperties>
</file>