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<sst xmlns="http://schemas.openxmlformats.org/spreadsheetml/2006/main" count="215" uniqueCount="179">
  <si>
    <t>Показатель</t>
  </si>
  <si>
    <t>Продукция А, шт., в месяц</t>
  </si>
  <si>
    <t>Продукция Б, шт., в месяц</t>
  </si>
  <si>
    <t>Продукция В, шт., в месяц</t>
  </si>
  <si>
    <t>Количество рабочих дней (год), Др</t>
  </si>
  <si>
    <t>Накладные(постоянные) расходы, %</t>
  </si>
  <si>
    <t>Внепроизводственные расходы, %</t>
  </si>
  <si>
    <t>Количество смен, Ссм.</t>
  </si>
  <si>
    <t>Коэффициент учитывающийпотери рабочего времени, %., Кп</t>
  </si>
  <si>
    <t>Таблица l – Исходные данные                                           Таблица 2 –  Стоимость основных производственных фондов, взятых  в аренду</t>
  </si>
  <si>
    <t>Вариант</t>
  </si>
  <si>
    <t>Цене единицы оборудования, тыс.руб.</t>
  </si>
  <si>
    <t>Стоимость ОПФ, тыс.руб.</t>
  </si>
  <si>
    <t xml:space="preserve">Типоборудования </t>
  </si>
  <si>
    <t xml:space="preserve">Количество однотипного лборудования единий </t>
  </si>
  <si>
    <t>ИТОГО:</t>
  </si>
  <si>
    <t>Алгоритм технико - экономического обоснования бизнес – идеи</t>
  </si>
  <si>
    <t xml:space="preserve">   1 Для того чтобы определить потенциальные производственные возможности предприятия  рассчитывают следующие показатели:</t>
  </si>
  <si>
    <r>
      <t>Т</t>
    </r>
    <r>
      <rPr>
        <b/>
        <vertAlign val="subscript"/>
        <sz val="14"/>
        <rFont val="Times New Roman"/>
        <family val="1"/>
      </rPr>
      <t>ф</t>
    </r>
    <r>
      <rPr>
        <b/>
        <sz val="14"/>
        <rFont val="Times New Roman"/>
        <family val="1"/>
      </rPr>
      <t xml:space="preserve"> = Д</t>
    </r>
    <r>
      <rPr>
        <b/>
        <vertAlign val="subscript"/>
        <sz val="14"/>
        <rFont val="Times New Roman"/>
        <family val="1"/>
      </rPr>
      <t>р</t>
    </r>
    <r>
      <rPr>
        <b/>
        <sz val="14"/>
        <rFont val="Times New Roman"/>
        <family val="1"/>
      </rPr>
      <t>*С</t>
    </r>
    <r>
      <rPr>
        <b/>
        <vertAlign val="subscript"/>
        <sz val="14"/>
        <rFont val="Times New Roman"/>
        <family val="1"/>
      </rPr>
      <t>см</t>
    </r>
    <r>
      <rPr>
        <b/>
        <sz val="14"/>
        <rFont val="Times New Roman"/>
        <family val="1"/>
      </rPr>
      <t>* t</t>
    </r>
    <r>
      <rPr>
        <b/>
        <vertAlign val="subscript"/>
        <sz val="14"/>
        <rFont val="Times New Roman"/>
        <family val="1"/>
      </rPr>
      <t>с</t>
    </r>
    <r>
      <rPr>
        <b/>
        <sz val="14"/>
        <rFont val="Times New Roman"/>
        <family val="1"/>
      </rPr>
      <t>.*(1 –К</t>
    </r>
    <r>
      <rPr>
        <b/>
        <vertAlign val="subscript"/>
        <sz val="14"/>
        <rFont val="Times New Roman"/>
        <family val="1"/>
      </rPr>
      <t>п</t>
    </r>
    <r>
      <rPr>
        <b/>
        <sz val="14"/>
        <rFont val="Times New Roman"/>
        <family val="1"/>
      </rPr>
      <t xml:space="preserve">), </t>
    </r>
  </si>
  <si>
    <t xml:space="preserve">1.1            Расчетная  мощность каждого типа оборудования:  </t>
  </si>
  <si>
    <r>
      <t xml:space="preserve">  </t>
    </r>
    <r>
      <rPr>
        <b/>
        <sz val="11"/>
        <rFont val="Times New Roman"/>
        <family val="1"/>
      </rPr>
      <t>М</t>
    </r>
    <r>
      <rPr>
        <b/>
        <vertAlign val="subscript"/>
        <sz val="11"/>
        <rFont val="Times New Roman"/>
        <family val="1"/>
      </rPr>
      <t>р</t>
    </r>
    <r>
      <rPr>
        <b/>
        <sz val="11"/>
        <rFont val="Times New Roman"/>
        <family val="1"/>
      </rPr>
      <t xml:space="preserve"> = Т</t>
    </r>
    <r>
      <rPr>
        <b/>
        <vertAlign val="subscript"/>
        <sz val="11"/>
        <rFont val="Times New Roman"/>
        <family val="1"/>
      </rPr>
      <t>ф</t>
    </r>
    <r>
      <rPr>
        <b/>
        <sz val="11"/>
        <rFont val="Times New Roman"/>
        <family val="1"/>
      </rPr>
      <t>*n/t</t>
    </r>
    <r>
      <rPr>
        <b/>
        <vertAlign val="subscript"/>
        <sz val="11"/>
        <rFont val="Times New Roman"/>
        <family val="1"/>
      </rPr>
      <t>шт</t>
    </r>
    <r>
      <rPr>
        <b/>
        <sz val="11"/>
        <rFont val="Times New Roman"/>
        <family val="1"/>
      </rPr>
      <t xml:space="preserve">, </t>
    </r>
  </si>
  <si>
    <r>
      <t>Т</t>
    </r>
    <r>
      <rPr>
        <vertAlign val="subscript"/>
        <sz val="11"/>
        <rFont val="Times New Roman"/>
        <family val="1"/>
      </rPr>
      <t>ф</t>
    </r>
    <r>
      <rPr>
        <sz val="11"/>
        <rFont val="Times New Roman"/>
        <family val="1"/>
      </rPr>
      <t xml:space="preserve"> - эффективный фонд времени работы оборудования, рассчитывается по формуле:</t>
    </r>
  </si>
  <si>
    <t>Таблица 3 –  Производственная мощность предприятия</t>
  </si>
  <si>
    <t>Мощность,  планируемая,  с учетом потерь,шт/год</t>
  </si>
  <si>
    <t>Коэффициент эффективности, доли единиц</t>
  </si>
  <si>
    <t>Тип оборудования</t>
  </si>
  <si>
    <r>
      <t>Время на обработку единицы изделия, t</t>
    </r>
    <r>
      <rPr>
        <b/>
        <vertAlign val="subscript"/>
        <sz val="10"/>
        <rFont val="Times New Roman"/>
        <family val="1"/>
      </rPr>
      <t>шт</t>
    </r>
    <r>
      <rPr>
        <b/>
        <sz val="10"/>
        <rFont val="Times New Roman"/>
        <family val="1"/>
      </rPr>
      <t>, , час</t>
    </r>
  </si>
  <si>
    <r>
      <t>Мощность расчетная, шт/год.</t>
    </r>
    <r>
      <rPr>
        <b/>
        <sz val="10"/>
        <rFont val="Times New Roman"/>
        <family val="1"/>
      </rPr>
      <t xml:space="preserve">  Мр.</t>
    </r>
  </si>
  <si>
    <t>Мр(1),шт</t>
  </si>
  <si>
    <t>Мр(2),шт</t>
  </si>
  <si>
    <t>Мр(3),шт</t>
  </si>
  <si>
    <t xml:space="preserve">      Фактической мощность определяется по ведущему оборудованию, на котором можно произвести максимальное количество продукции в течение планового периода, поэтому фактическая мощность предприятия равна   6780  шт. в год</t>
  </si>
  <si>
    <r>
      <t xml:space="preserve">     1.2. </t>
    </r>
    <r>
      <rPr>
        <i/>
        <sz val="11"/>
        <rFont val="Times New Roman"/>
        <family val="1"/>
      </rPr>
      <t>Для определения эффективности использования оборудования  рассчитывается коэффициент его использования по мощности, по каждому типу оборудования, с использованием формулы</t>
    </r>
    <r>
      <rPr>
        <sz val="11"/>
        <rFont val="Times New Roman"/>
        <family val="1"/>
      </rPr>
      <t xml:space="preserve">:     </t>
    </r>
  </si>
  <si>
    <r>
      <t>К</t>
    </r>
    <r>
      <rPr>
        <b/>
        <vertAlign val="subscript"/>
        <sz val="14"/>
        <rFont val="Times New Roman"/>
        <family val="1"/>
      </rPr>
      <t>им</t>
    </r>
    <r>
      <rPr>
        <b/>
        <sz val="14"/>
        <rFont val="Times New Roman"/>
        <family val="1"/>
      </rPr>
      <t xml:space="preserve"> = М</t>
    </r>
    <r>
      <rPr>
        <b/>
        <vertAlign val="subscript"/>
        <sz val="14"/>
        <rFont val="Times New Roman"/>
        <family val="1"/>
      </rPr>
      <t>пл</t>
    </r>
    <r>
      <rPr>
        <b/>
        <sz val="14"/>
        <rFont val="Times New Roman"/>
        <family val="1"/>
      </rPr>
      <t>./М</t>
    </r>
    <r>
      <rPr>
        <b/>
        <vertAlign val="subscript"/>
        <sz val="14"/>
        <rFont val="Times New Roman"/>
        <family val="1"/>
      </rPr>
      <t>ф</t>
    </r>
  </si>
  <si>
    <t>Ким(1)</t>
  </si>
  <si>
    <t>Ким(2)</t>
  </si>
  <si>
    <t>Ким(3)</t>
  </si>
  <si>
    <t>Мпл(1)</t>
  </si>
  <si>
    <t>Мпл(3)</t>
  </si>
  <si>
    <t>Мпл(2)</t>
  </si>
  <si>
    <r>
      <t>М</t>
    </r>
    <r>
      <rPr>
        <vertAlign val="subscript"/>
        <sz val="11"/>
        <rFont val="Times New Roman"/>
        <family val="1"/>
      </rPr>
      <t>пл</t>
    </r>
    <r>
      <rPr>
        <sz val="11"/>
        <rFont val="Times New Roman"/>
        <family val="1"/>
      </rPr>
      <t xml:space="preserve"> – планируемая мощность оборудования с учетом коэффициента потерь  рассчитывается по формуле: </t>
    </r>
  </si>
  <si>
    <t>Мпл =  Мр* (1- Кп )</t>
  </si>
  <si>
    <t>2. Планируемые затраты на производство и реализацию единицы продукции  рассчитываются на основе калькуляции</t>
  </si>
  <si>
    <t>Таблица 4 - Плановая калькуляция себестоимости продукции</t>
  </si>
  <si>
    <t>Статьи затрат</t>
  </si>
  <si>
    <t>Сумма затрат на единицу, руб.</t>
  </si>
  <si>
    <t>А</t>
  </si>
  <si>
    <t>Б</t>
  </si>
  <si>
    <t>В</t>
  </si>
  <si>
    <t>Основные материалы с ТЗР</t>
  </si>
  <si>
    <t>Вспомогательные материалы</t>
  </si>
  <si>
    <t>Топливо, энергия на технологию</t>
  </si>
  <si>
    <t>З/плата основных произв. рабочих</t>
  </si>
  <si>
    <t>Прямые (переменные) затраты</t>
  </si>
  <si>
    <t>Заводская себестоимость</t>
  </si>
  <si>
    <t>Плановая прибыль</t>
  </si>
  <si>
    <t>Процент начислен</t>
  </si>
  <si>
    <t>Средние</t>
  </si>
  <si>
    <t>издержки,</t>
  </si>
  <si>
    <t>руб.</t>
  </si>
  <si>
    <t>Полная себестоимость</t>
  </si>
  <si>
    <t>Свободная оптовая цена</t>
  </si>
  <si>
    <t>Свободная отпускная цена с НДС</t>
  </si>
  <si>
    <t>НДС,%</t>
  </si>
  <si>
    <t>ЕСН,%</t>
  </si>
  <si>
    <t>Накладные (постоянные) расходы,%</t>
  </si>
  <si>
    <t>Коммерческие расходы,%</t>
  </si>
  <si>
    <t>3. Рассчитаем прибыль, полученную от реализации продукции (табл. 5).</t>
  </si>
  <si>
    <t>Таблица 5 -Прибыль от реализации продукции</t>
  </si>
  <si>
    <t>-</t>
  </si>
  <si>
    <t>Виды продукции</t>
  </si>
  <si>
    <t>Объем реализации</t>
  </si>
  <si>
    <t>Себестоимость, тыс.руб.</t>
  </si>
  <si>
    <t>Маржинальн прибыль, тыс.руб.</t>
  </si>
  <si>
    <t>(гр.3-гр4)</t>
  </si>
  <si>
    <t>Прибыль от  реализации</t>
  </si>
  <si>
    <t>тыс.руб.</t>
  </si>
  <si>
    <t>(гр7-гр5)</t>
  </si>
  <si>
    <t>шт.</t>
  </si>
  <si>
    <t>тыс.руб</t>
  </si>
  <si>
    <t>перем.</t>
  </si>
  <si>
    <t>затраты (табл.4)</t>
  </si>
  <si>
    <t>пост.</t>
  </si>
  <si>
    <t>затрат.</t>
  </si>
  <si>
    <t>(табл.4)</t>
  </si>
  <si>
    <t>∑ затрат</t>
  </si>
  <si>
    <t>Определите уровень риска бизнес – идеи  по  коэффициенту производственного рычага, который рассчитывается по формуле: Кпр = Пм.  / Пр. , где</t>
  </si>
  <si>
    <t>Кпр(1)=</t>
  </si>
  <si>
    <t>Кпр(2)=</t>
  </si>
  <si>
    <t>Кпр(3)=</t>
  </si>
  <si>
    <t>4.  Финансовый результат, полученный от реализации бизнес – идеи по  расширению ассортимента продукции выражается суммой чистой прибыли, остающейся в распоряжении субъекта.</t>
  </si>
  <si>
    <t>Таблица 6 -  Финансовые  результат реализации бизнес – идеи</t>
  </si>
  <si>
    <t>Финансовые показатели</t>
  </si>
  <si>
    <t>3 Прибыль от реализации, тыс. руб. (гр.8 табл.5)</t>
  </si>
  <si>
    <t>1 Выручка от реализации с НДС, ( гр.3 табл.5)</t>
  </si>
  <si>
    <t>4 Прибыль от прочих видов деятельности, тыс. руб.(3% от прибыли от реализации )</t>
  </si>
  <si>
    <t>6.1 - аренда оборудования ( 13% от его стоимости, табл.2)</t>
  </si>
  <si>
    <t>6.2 - НДС (18% от прибыли от реализации)</t>
  </si>
  <si>
    <t>7Балансовая прибыль,  (п.5- п. 6)</t>
  </si>
  <si>
    <t>9 Чистая прибыль, тыс. руб. (п.7 – п.8)</t>
  </si>
  <si>
    <t>2 Затраты на производство и реализацию продукции,( гр.6 табл.5)</t>
  </si>
  <si>
    <t>месяц</t>
  </si>
  <si>
    <t>год</t>
  </si>
  <si>
    <t>Сумма,тыс.руб</t>
  </si>
  <si>
    <t>5 Прибыль от всех видов хоз. деятельности, (п.3 + п.4)</t>
  </si>
  <si>
    <t>6 Внереализационные расходы,тыс.руб, в т. ч.</t>
  </si>
  <si>
    <t>8 Налог на прибыль, тыс. руб. (20% от балансовой прибыли)</t>
  </si>
  <si>
    <t>5. С целью организации ритмичного и равномерного производства проводится расчет норматива оборотных средств, находящихся в незавершенном производстве с использованием формулы:</t>
  </si>
  <si>
    <r>
      <t>∑ОС</t>
    </r>
    <r>
      <rPr>
        <b/>
        <vertAlign val="subscript"/>
        <sz val="14"/>
        <rFont val="Times New Roman"/>
        <family val="1"/>
      </rPr>
      <t>нз.</t>
    </r>
    <r>
      <rPr>
        <b/>
        <sz val="14"/>
        <rFont val="Times New Roman"/>
        <family val="1"/>
      </rPr>
      <t>= Q * С* Т</t>
    </r>
    <r>
      <rPr>
        <b/>
        <vertAlign val="subscript"/>
        <sz val="14"/>
        <rFont val="Times New Roman"/>
        <family val="1"/>
      </rPr>
      <t>ц</t>
    </r>
    <r>
      <rPr>
        <b/>
        <sz val="14"/>
        <rFont val="Times New Roman"/>
        <family val="1"/>
      </rPr>
      <t xml:space="preserve"> * К</t>
    </r>
    <r>
      <rPr>
        <b/>
        <vertAlign val="subscript"/>
        <sz val="14"/>
        <rFont val="Times New Roman"/>
        <family val="1"/>
      </rPr>
      <t>нз</t>
    </r>
    <r>
      <rPr>
        <b/>
        <sz val="14"/>
        <rFont val="Times New Roman"/>
        <family val="1"/>
      </rPr>
      <t>.</t>
    </r>
  </si>
  <si>
    <t xml:space="preserve"> Таблица 7 - Норматив оборотных средств в незавершенном производстве</t>
  </si>
  <si>
    <t>Себестоимость единицы продукции,  руб.</t>
  </si>
  <si>
    <t>Годовой объем производства, шт.</t>
  </si>
  <si>
    <t>Длительность производств.цикла, дн.</t>
  </si>
  <si>
    <t>Коэффициент нарастания затрат,доли единиц</t>
  </si>
  <si>
    <t>Сумма оборотных средств, млн. руб.</t>
  </si>
  <si>
    <t>7. С целью снижения доли производственного и коммерческого риска проведем расчет критического объема реализации и построим график безубыточности по каждой модели продукции, сделав на их основе соответствующие выводы об эффективности бизнес - идеи организации производства новых видов продукции.</t>
  </si>
  <si>
    <t>8. Определим критический объем производства в натуральном и стоимостном выражении:</t>
  </si>
  <si>
    <r>
      <t>8.1. В натуральном выражении: Q</t>
    </r>
    <r>
      <rPr>
        <vertAlign val="subscript"/>
        <sz val="14"/>
        <rFont val="Times New Roman"/>
        <family val="1"/>
      </rPr>
      <t>кр</t>
    </r>
    <r>
      <rPr>
        <sz val="14"/>
        <rFont val="Times New Roman"/>
        <family val="1"/>
      </rPr>
      <t>.= Р</t>
    </r>
    <r>
      <rPr>
        <vertAlign val="subscript"/>
        <sz val="14"/>
        <rFont val="Times New Roman"/>
        <family val="1"/>
      </rPr>
      <t>пост</t>
    </r>
    <r>
      <rPr>
        <sz val="14"/>
        <rFont val="Times New Roman"/>
        <family val="1"/>
      </rPr>
      <t xml:space="preserve">  / (Ц - Р</t>
    </r>
    <r>
      <rPr>
        <vertAlign val="subscript"/>
        <sz val="14"/>
        <rFont val="Times New Roman"/>
        <family val="1"/>
      </rPr>
      <t>пер</t>
    </r>
    <r>
      <rPr>
        <b/>
        <sz val="14"/>
        <rFont val="Times New Roman"/>
        <family val="1"/>
      </rPr>
      <t xml:space="preserve"> ), </t>
    </r>
    <r>
      <rPr>
        <sz val="14"/>
        <rFont val="Times New Roman"/>
        <family val="1"/>
      </rPr>
      <t xml:space="preserve">где </t>
    </r>
  </si>
  <si>
    <r>
      <t>Р</t>
    </r>
    <r>
      <rPr>
        <vertAlign val="subscript"/>
        <sz val="14"/>
        <rFont val="Times New Roman"/>
        <family val="1"/>
      </rPr>
      <t>пост</t>
    </r>
    <r>
      <rPr>
        <sz val="14"/>
        <rFont val="Times New Roman"/>
        <family val="1"/>
      </rPr>
      <t xml:space="preserve"> – постоянные издержки на весь объем, тыс. руб.,</t>
    </r>
  </si>
  <si>
    <t xml:space="preserve">Ц – цена единицы изделия, руб., </t>
  </si>
  <si>
    <r>
      <t>Р</t>
    </r>
    <r>
      <rPr>
        <vertAlign val="subscript"/>
        <sz val="14"/>
        <rFont val="Times New Roman"/>
        <family val="1"/>
      </rPr>
      <t>пост</t>
    </r>
    <r>
      <rPr>
        <sz val="14"/>
        <rFont val="Times New Roman"/>
        <family val="1"/>
      </rPr>
      <t xml:space="preserve"> – переменные издержки на единицу продукции, руб.</t>
    </r>
  </si>
  <si>
    <t>Qкр(А)=(14956-14663)*1560/(22942,9-14663)</t>
  </si>
  <si>
    <t>Qкр(Б)=</t>
  </si>
  <si>
    <t>Qкр(В)=</t>
  </si>
  <si>
    <t>шт</t>
  </si>
  <si>
    <t xml:space="preserve">8.2. В денежном выражении: </t>
  </si>
  <si>
    <t>Qкр(А)=22942,9*55</t>
  </si>
  <si>
    <t>тыс.р</t>
  </si>
  <si>
    <t>9. Определим запас финансовой прочности по каждому изделию в абсолютных и относительных показателях:</t>
  </si>
  <si>
    <r>
      <t>З</t>
    </r>
    <r>
      <rPr>
        <vertAlign val="subscript"/>
        <sz val="14"/>
        <rFont val="Times New Roman"/>
        <family val="1"/>
      </rPr>
      <t>ф.пр.</t>
    </r>
    <r>
      <rPr>
        <sz val="14"/>
        <rFont val="Times New Roman"/>
        <family val="1"/>
      </rPr>
      <t>=  В</t>
    </r>
    <r>
      <rPr>
        <vertAlign val="subscript"/>
        <sz val="14"/>
        <rFont val="Times New Roman"/>
        <family val="1"/>
      </rPr>
      <t>р</t>
    </r>
    <r>
      <rPr>
        <sz val="14"/>
        <rFont val="Times New Roman"/>
        <family val="1"/>
      </rPr>
      <t xml:space="preserve"> - Q</t>
    </r>
    <r>
      <rPr>
        <vertAlign val="subscript"/>
        <sz val="14"/>
        <rFont val="Times New Roman"/>
        <family val="1"/>
      </rPr>
      <t>крА</t>
    </r>
    <r>
      <rPr>
        <sz val="14"/>
        <rFont val="Times New Roman"/>
        <family val="1"/>
      </rPr>
      <t xml:space="preserve"> , где</t>
    </r>
  </si>
  <si>
    <r>
      <t xml:space="preserve"> В</t>
    </r>
    <r>
      <rPr>
        <vertAlign val="subscript"/>
        <sz val="14"/>
        <rFont val="Times New Roman"/>
        <family val="1"/>
      </rPr>
      <t>р</t>
    </r>
    <r>
      <rPr>
        <sz val="14"/>
        <rFont val="Times New Roman"/>
        <family val="1"/>
      </rPr>
      <t xml:space="preserve">  – выручка от реализации по конкретному изделию, тыс. руб.,</t>
    </r>
  </si>
  <si>
    <r>
      <t xml:space="preserve"> Q</t>
    </r>
    <r>
      <rPr>
        <vertAlign val="subscript"/>
        <sz val="14"/>
        <rFont val="Times New Roman"/>
        <family val="1"/>
      </rPr>
      <t>кр</t>
    </r>
    <r>
      <rPr>
        <sz val="14"/>
        <rFont val="Times New Roman"/>
        <family val="1"/>
      </rPr>
      <t xml:space="preserve">   – критический объем по данному изделию, тыс. руб.</t>
    </r>
  </si>
  <si>
    <t>Зф.пр.(Б)=</t>
  </si>
  <si>
    <t>Зф.пр.(В)=</t>
  </si>
  <si>
    <t>Зф.пр.(А)=2982,58*12-1267,65</t>
  </si>
  <si>
    <t>%</t>
  </si>
  <si>
    <t xml:space="preserve">       Анализируя полученные результаты расчета точки безубыточности, можно сделать вывод о том, что все три изделия  для предпринимателя одинаково привлекательны, поскольку они имеют одинаковый запас финансовой прочности, равный 96,46%. Поэтому для обоснования  целесообразности предпринимательской  идеи необходимо сравнить  значения показателей маржинального дохода в виде прибыли и  эффекта производственного рычага.</t>
  </si>
  <si>
    <t xml:space="preserve">     Рассчитаем маржинальную прибыль от реализации каждого вида изделия по следующей формуле: Пм. = Вр - Рпер, тогда:</t>
  </si>
  <si>
    <t>ПмБ=</t>
  </si>
  <si>
    <t>ПмВ=</t>
  </si>
  <si>
    <t>ПмА=2982,58*12*1560-4730*1560</t>
  </si>
  <si>
    <t>млн.р.</t>
  </si>
  <si>
    <t xml:space="preserve">Рассчитаем величину эффекта производственного рычага для каждого вида изделия по следующей формуле: Эпрi. = Пмi/ Прi, где
Прi  – прибыль от реализации  i -го изделия;
Пмi – маржинальная прибыль от реализации i -го изделия
</t>
  </si>
  <si>
    <t>ЭпрБ =</t>
  </si>
  <si>
    <t>ЭпрВ =</t>
  </si>
  <si>
    <t>ЭпрА =48455,05/35,61</t>
  </si>
  <si>
    <t>Таблица 8- Показатели эффективности хозяйственной деятельности</t>
  </si>
  <si>
    <t>Вид продукции</t>
  </si>
  <si>
    <t xml:space="preserve">Себест. единицы, </t>
  </si>
  <si>
    <t>руб</t>
  </si>
  <si>
    <t>Критический объем</t>
  </si>
  <si>
    <t>Запас финансов.</t>
  </si>
  <si>
    <t>прочности, тыс. руб.</t>
  </si>
  <si>
    <t xml:space="preserve">Маржинальная прибыль, </t>
  </si>
  <si>
    <t>тыс. руб.</t>
  </si>
  <si>
    <t>Эффект</t>
  </si>
  <si>
    <t>произв.</t>
  </si>
  <si>
    <t>рычага</t>
  </si>
  <si>
    <t>Чистая прибыль,</t>
  </si>
  <si>
    <t>тыс. руб</t>
  </si>
  <si>
    <t>Полученное для всех видов продукции значение эффекта производственного рычага свидетельствует о том, что производство  продукции А целесообразно для предпринимателя, т.к. его показатели наиболее оптимальны.</t>
  </si>
  <si>
    <t>Вывод:. на основе проведенного анализа следует, что предпринимателю целесообразнее выпускать продукцию вида А, поскольку его производство возможно с наименьшими затратами при довольно низком уровне накладных расходов, обеспечивая тем самым снижение предпринимательского риска. Но показатель чистой прибыли является свидетельством того, что необходимо принять ряд управленческих, может быть нестандартных,   решений  с целью максимизации результатов предпринимательской деятельности.</t>
  </si>
  <si>
    <t xml:space="preserve">      Рассмотрим целесообразность производства всех 3 видов изделия одновременно. Для этого рассчитаем все вышеприведенные показатели, исходя из средних издержек производства. </t>
  </si>
  <si>
    <t>1.Определим критический объем производства в натуральном и денежном выражении:</t>
  </si>
  <si>
    <t>1.1. В натуральном выражении:</t>
  </si>
  <si>
    <r>
      <t xml:space="preserve"> Q</t>
    </r>
    <r>
      <rPr>
        <vertAlign val="subscript"/>
        <sz val="14"/>
        <rFont val="Times New Roman"/>
        <family val="1"/>
      </rPr>
      <t>кр</t>
    </r>
    <r>
      <rPr>
        <sz val="14"/>
        <rFont val="Times New Roman"/>
        <family val="1"/>
      </rPr>
      <t xml:space="preserve">. = </t>
    </r>
  </si>
  <si>
    <t>1.2.В денежном выражении:</t>
  </si>
  <si>
    <t xml:space="preserve"> Qкр. = </t>
  </si>
  <si>
    <t xml:space="preserve">2. Определим запас финансовой прочности </t>
  </si>
  <si>
    <r>
      <t>З</t>
    </r>
    <r>
      <rPr>
        <vertAlign val="subscript"/>
        <sz val="14"/>
        <rFont val="Times New Roman"/>
        <family val="1"/>
      </rPr>
      <t>ф.пр</t>
    </r>
    <r>
      <rPr>
        <sz val="14"/>
        <rFont val="Times New Roman"/>
        <family val="1"/>
      </rPr>
      <t xml:space="preserve"> = </t>
    </r>
  </si>
  <si>
    <t>2. Рассчитаем маржинальную прибыль от реализации:</t>
  </si>
  <si>
    <r>
      <t>П</t>
    </r>
    <r>
      <rPr>
        <vertAlign val="subscript"/>
        <sz val="14"/>
        <rFont val="Times New Roman"/>
        <family val="1"/>
      </rPr>
      <t>м</t>
    </r>
    <r>
      <rPr>
        <sz val="14"/>
        <rFont val="Times New Roman"/>
        <family val="1"/>
      </rPr>
      <t xml:space="preserve"> =</t>
    </r>
  </si>
  <si>
    <t>3.Рассчитаем эффект производственного рычага:</t>
  </si>
  <si>
    <r>
      <t>Э</t>
    </r>
    <r>
      <rPr>
        <vertAlign val="subscript"/>
        <sz val="14"/>
        <rFont val="Times New Roman"/>
        <family val="1"/>
      </rPr>
      <t>прi</t>
    </r>
    <r>
      <rPr>
        <sz val="14"/>
        <rFont val="Times New Roman"/>
        <family val="1"/>
      </rPr>
      <t xml:space="preserve"> =</t>
    </r>
  </si>
  <si>
    <t xml:space="preserve">     Исследуя  полученные  показатели одновременного запуска в производство трех видов  продукции можно сделать  вывод о том, что для предпринимателя возможен вариант их совместного выпуска, поскольку  такое производство будет безубыточным и низко рисковым. Однако, с целью снижения финансового риска,  экономически выгодным является вариант освоения производства продукции вида А, как менее затратное, а затем, имея эффективную маркетинговую стратегию начать производство изделия вида Б и В. 
</t>
  </si>
  <si>
    <t>год.выручка</t>
  </si>
  <si>
    <t xml:space="preserve">
Технико - экономическое обоснование бизнес-идеи развития субъекта предпринимательства с использованием графических моделей
</t>
  </si>
  <si>
    <t xml:space="preserve">
  На основании проведенных маркетинговых мероприятий предприниматель принял решение  о расширении ассортимента  выпускаемой продукции.
Определите  экономическую целесообразность организации производства и реализации  перечисленных видов  продукции с использованием математических расчетов и графической модели  безубыточности производства, используя данные, приведенные в таблицах 1,2.
</t>
  </si>
  <si>
    <t>соц отчисл, %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</si>
</sst>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"/>
    <numFmt numFmtId="187" formatCode="0.00000"/>
    <numFmt numFmtId="188" formatCode="0.000000"/>
    <numFmt numFmtId="189" formatCode="0.00000000"/>
    <numFmt numFmtId="190" formatCode="0.0000000"/>
    <numFmt numFmtId="191" formatCode="0.0000E+00"/>
    <numFmt numFmtId="192" formatCode="0.000E+00"/>
    <numFmt numFmtId="193" formatCode="0.0E+00"/>
    <numFmt numFmtId="194" formatCode="0E+00"/>
  </numFmts>
  <fonts count="5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vertAlign val="subscript"/>
      <sz val="11"/>
      <name val="Times New Roman"/>
      <family val="1"/>
    </font>
    <font>
      <b/>
      <vertAlign val="subscript"/>
      <sz val="10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justify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4" fillId="0" borderId="15" xfId="0" applyFont="1" applyBorder="1" applyAlignment="1">
      <alignment vertical="top" wrapText="1"/>
    </xf>
    <xf numFmtId="0" fontId="4" fillId="0" borderId="12" xfId="0" applyFont="1" applyBorder="1" applyAlignment="1">
      <alignment horizontal="justify" vertical="top" wrapText="1"/>
    </xf>
    <xf numFmtId="0" fontId="16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2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" fontId="2" fillId="0" borderId="16" xfId="0" applyNumberFormat="1" applyFont="1" applyBorder="1" applyAlignment="1">
      <alignment horizontal="justify" vertical="top" wrapText="1"/>
    </xf>
    <xf numFmtId="1" fontId="2" fillId="0" borderId="14" xfId="0" applyNumberFormat="1" applyFont="1" applyBorder="1" applyAlignment="1">
      <alignment horizontal="justify" vertical="top" wrapText="1"/>
    </xf>
    <xf numFmtId="2" fontId="2" fillId="0" borderId="14" xfId="0" applyNumberFormat="1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/>
    </xf>
    <xf numFmtId="0" fontId="3" fillId="0" borderId="10" xfId="0" applyFont="1" applyBorder="1" applyAlignment="1">
      <alignment horizontal="justify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86" fontId="2" fillId="0" borderId="14" xfId="0" applyNumberFormat="1" applyFont="1" applyBorder="1" applyAlignment="1">
      <alignment horizontal="center"/>
    </xf>
    <xf numFmtId="186" fontId="3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86" fontId="8" fillId="0" borderId="14" xfId="0" applyNumberFormat="1" applyFont="1" applyBorder="1" applyAlignment="1">
      <alignment horizontal="center"/>
    </xf>
    <xf numFmtId="0" fontId="12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justify" vertical="top" wrapText="1"/>
    </xf>
    <xf numFmtId="2" fontId="2" fillId="0" borderId="14" xfId="0" applyNumberFormat="1" applyFont="1" applyBorder="1" applyAlignment="1">
      <alignment horizontal="justify"/>
    </xf>
    <xf numFmtId="2" fontId="3" fillId="0" borderId="14" xfId="0" applyNumberFormat="1" applyFont="1" applyBorder="1" applyAlignment="1">
      <alignment horizontal="justify"/>
    </xf>
    <xf numFmtId="186" fontId="3" fillId="0" borderId="14" xfId="0" applyNumberFormat="1" applyFont="1" applyBorder="1" applyAlignment="1">
      <alignment horizontal="justify"/>
    </xf>
    <xf numFmtId="186" fontId="2" fillId="0" borderId="14" xfId="0" applyNumberFormat="1" applyFont="1" applyBorder="1" applyAlignment="1">
      <alignment horizontal="justify"/>
    </xf>
    <xf numFmtId="0" fontId="2" fillId="0" borderId="10" xfId="0" applyFont="1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2" xfId="0" applyFont="1" applyBorder="1" applyAlignment="1">
      <alignment horizontal="justify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8" fillId="0" borderId="0" xfId="0" applyFont="1" applyAlignment="1">
      <alignment horizontal="justify"/>
    </xf>
    <xf numFmtId="0" fontId="3" fillId="0" borderId="14" xfId="0" applyFont="1" applyBorder="1" applyAlignment="1">
      <alignment horizontal="justify"/>
    </xf>
    <xf numFmtId="0" fontId="3" fillId="0" borderId="11" xfId="0" applyFont="1" applyBorder="1" applyAlignment="1">
      <alignment horizontal="justify" wrapText="1"/>
    </xf>
    <xf numFmtId="0" fontId="3" fillId="0" borderId="16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1" fontId="2" fillId="0" borderId="14" xfId="0" applyNumberFormat="1" applyFont="1" applyBorder="1" applyAlignment="1">
      <alignment horizontal="justify"/>
    </xf>
    <xf numFmtId="0" fontId="6" fillId="0" borderId="0" xfId="0" applyFont="1" applyAlignment="1">
      <alignment horizontal="justify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1" fontId="6" fillId="0" borderId="14" xfId="0" applyNumberFormat="1" applyFont="1" applyBorder="1" applyAlignment="1">
      <alignment horizontal="justify" vertical="top" wrapText="1"/>
    </xf>
    <xf numFmtId="2" fontId="6" fillId="0" borderId="14" xfId="0" applyNumberFormat="1" applyFont="1" applyBorder="1" applyAlignment="1">
      <alignment horizontal="justify" vertical="top" wrapText="1"/>
    </xf>
    <xf numFmtId="185" fontId="0" fillId="0" borderId="0" xfId="0" applyNumberFormat="1" applyAlignment="1">
      <alignment horizontal="left" wrapText="1" indent="2"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25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26" xfId="0" applyFont="1" applyBorder="1" applyAlignment="1">
      <alignment horizontal="justify" vertical="top" wrapText="1"/>
    </xf>
    <xf numFmtId="0" fontId="3" fillId="0" borderId="27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0"/>
  <sheetViews>
    <sheetView tabSelected="1" zoomScalePageLayoutView="0" workbookViewId="0" topLeftCell="A4">
      <selection activeCell="E60" sqref="E60"/>
    </sheetView>
  </sheetViews>
  <sheetFormatPr defaultColWidth="9.140625" defaultRowHeight="12.75"/>
  <cols>
    <col min="1" max="1" width="35.28125" style="0" customWidth="1"/>
    <col min="2" max="2" width="22.421875" style="0" customWidth="1"/>
    <col min="3" max="3" width="18.00390625" style="0" customWidth="1"/>
    <col min="4" max="4" width="15.421875" style="0" customWidth="1"/>
    <col min="5" max="5" width="14.00390625" style="0" customWidth="1"/>
    <col min="6" max="6" width="14.57421875" style="0" customWidth="1"/>
    <col min="7" max="7" width="13.7109375" style="0" customWidth="1"/>
    <col min="8" max="8" width="15.00390625" style="0" customWidth="1"/>
    <col min="9" max="9" width="14.421875" style="0" customWidth="1"/>
    <col min="10" max="10" width="11.8515625" style="0" customWidth="1"/>
  </cols>
  <sheetData>
    <row r="1" spans="1:15" ht="76.5" customHeight="1">
      <c r="A1" s="95" t="s">
        <v>176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"/>
    </row>
    <row r="2" spans="1:15" ht="76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1"/>
    </row>
    <row r="3" spans="1:15" ht="94.5" customHeight="1">
      <c r="A3" s="95" t="s">
        <v>177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1"/>
    </row>
    <row r="4" spans="1:15" ht="13.5" thickBot="1">
      <c r="A4" s="117" t="s">
        <v>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"/>
    </row>
    <row r="5" spans="1:15" ht="69.75" customHeight="1" thickBot="1">
      <c r="A5" s="97" t="s">
        <v>0</v>
      </c>
      <c r="B5" s="2"/>
      <c r="C5" s="2"/>
      <c r="D5" s="2"/>
      <c r="E5" s="1"/>
      <c r="F5" s="15" t="s">
        <v>10</v>
      </c>
      <c r="G5" s="16" t="s">
        <v>13</v>
      </c>
      <c r="H5" s="11" t="s">
        <v>14</v>
      </c>
      <c r="I5" s="17" t="s">
        <v>11</v>
      </c>
      <c r="J5" s="17" t="s">
        <v>12</v>
      </c>
      <c r="K5" s="1"/>
      <c r="L5" s="1"/>
      <c r="M5" s="1"/>
      <c r="N5" s="1"/>
      <c r="O5" s="1"/>
    </row>
    <row r="6" spans="1:15" ht="18.75" customHeight="1" thickBot="1">
      <c r="A6" s="98"/>
      <c r="B6" s="5"/>
      <c r="C6" s="31"/>
      <c r="D6" s="31"/>
      <c r="E6" s="1"/>
      <c r="F6" s="5">
        <v>5</v>
      </c>
      <c r="G6" s="18">
        <v>1</v>
      </c>
      <c r="H6" s="18">
        <v>3</v>
      </c>
      <c r="I6" s="18">
        <v>389</v>
      </c>
      <c r="J6" s="18">
        <v>1167</v>
      </c>
      <c r="K6" s="1"/>
      <c r="L6" s="1"/>
      <c r="M6" s="1"/>
      <c r="N6" s="1"/>
      <c r="O6" s="1"/>
    </row>
    <row r="7" spans="1:15" ht="17.25" customHeight="1" thickBot="1">
      <c r="A7" s="3" t="s">
        <v>1</v>
      </c>
      <c r="B7" s="6">
        <v>130</v>
      </c>
      <c r="C7" s="21"/>
      <c r="D7" s="21"/>
      <c r="E7" s="1"/>
      <c r="F7" s="4"/>
      <c r="G7" s="19">
        <v>2</v>
      </c>
      <c r="H7" s="19">
        <v>4</v>
      </c>
      <c r="I7" s="19">
        <v>236</v>
      </c>
      <c r="J7" s="19">
        <v>944</v>
      </c>
      <c r="K7" s="1"/>
      <c r="L7" s="1"/>
      <c r="M7" s="1"/>
      <c r="N7" s="1"/>
      <c r="O7" s="1"/>
    </row>
    <row r="8" spans="1:15" ht="22.5" customHeight="1" thickBot="1">
      <c r="A8" s="3" t="s">
        <v>2</v>
      </c>
      <c r="B8" s="6">
        <v>85</v>
      </c>
      <c r="C8" s="21"/>
      <c r="D8" s="21"/>
      <c r="E8" s="1"/>
      <c r="F8" s="4"/>
      <c r="G8" s="19">
        <v>3</v>
      </c>
      <c r="H8" s="19">
        <v>3</v>
      </c>
      <c r="I8" s="19">
        <v>412</v>
      </c>
      <c r="J8" s="19">
        <v>1236</v>
      </c>
      <c r="K8" s="1"/>
      <c r="L8" s="1"/>
      <c r="M8" s="1"/>
      <c r="N8" s="1"/>
      <c r="O8" s="1"/>
    </row>
    <row r="9" spans="1:15" ht="21.75" customHeight="1" thickBot="1">
      <c r="A9" s="3" t="s">
        <v>3</v>
      </c>
      <c r="B9" s="6">
        <v>75</v>
      </c>
      <c r="C9" s="21"/>
      <c r="D9" s="21"/>
      <c r="E9" s="1"/>
      <c r="F9" s="4" t="s">
        <v>15</v>
      </c>
      <c r="G9" s="19"/>
      <c r="H9" s="20">
        <v>10</v>
      </c>
      <c r="I9" s="20"/>
      <c r="J9" s="20">
        <v>3347</v>
      </c>
      <c r="K9" s="1"/>
      <c r="L9" s="1"/>
      <c r="M9" s="1"/>
      <c r="N9" s="1"/>
      <c r="O9" s="1"/>
    </row>
    <row r="10" spans="1:15" ht="32.25" customHeight="1" thickBot="1">
      <c r="A10" s="10" t="s">
        <v>4</v>
      </c>
      <c r="B10" s="6">
        <v>243</v>
      </c>
      <c r="C10" s="21"/>
      <c r="D10" s="2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6.5" thickBot="1">
      <c r="A11" s="8" t="s">
        <v>7</v>
      </c>
      <c r="B11" s="6">
        <v>2</v>
      </c>
      <c r="C11" s="21"/>
      <c r="D11" s="2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49.5" customHeight="1" thickBot="1">
      <c r="A12" s="3" t="s">
        <v>8</v>
      </c>
      <c r="B12" s="6">
        <v>7</v>
      </c>
      <c r="C12" s="21"/>
      <c r="D12" s="2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9.5" customHeight="1" thickBot="1">
      <c r="A13" s="9" t="s">
        <v>178</v>
      </c>
      <c r="B13" s="7">
        <v>26</v>
      </c>
      <c r="C13" s="32"/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32.25" thickBot="1">
      <c r="A14" s="3" t="s">
        <v>5</v>
      </c>
      <c r="B14" s="6">
        <v>210</v>
      </c>
      <c r="C14" s="21"/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32.25" thickBot="1">
      <c r="A15" s="9" t="s">
        <v>6</v>
      </c>
      <c r="B15" s="6">
        <v>4</v>
      </c>
      <c r="C15" s="21"/>
      <c r="D15" s="2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>
      <c r="A16" s="118" t="s">
        <v>16</v>
      </c>
      <c r="B16" s="118"/>
      <c r="C16" s="118"/>
      <c r="D16" s="118"/>
      <c r="E16" s="118"/>
      <c r="F16" s="118"/>
      <c r="G16" s="118"/>
      <c r="H16" s="118"/>
      <c r="I16" s="1"/>
      <c r="J16" s="1"/>
      <c r="K16" s="1"/>
      <c r="L16" s="1"/>
      <c r="M16" s="1"/>
      <c r="N16" s="1"/>
      <c r="O16" s="1"/>
    </row>
    <row r="17" spans="1:15" ht="33" customHeight="1">
      <c r="A17" s="118" t="s">
        <v>17</v>
      </c>
      <c r="B17" s="118"/>
      <c r="C17" s="118"/>
      <c r="D17" s="118"/>
      <c r="E17" s="118"/>
      <c r="F17" s="118"/>
      <c r="G17" s="118"/>
      <c r="H17" s="118"/>
      <c r="I17" s="1"/>
      <c r="J17" s="1"/>
      <c r="K17" s="1"/>
      <c r="L17" s="1"/>
      <c r="M17" s="1"/>
      <c r="N17" s="1"/>
      <c r="O17" s="1"/>
    </row>
    <row r="18" spans="1:15" ht="31.5" thickBot="1">
      <c r="A18" s="23" t="s">
        <v>19</v>
      </c>
      <c r="B18" s="1" t="s">
        <v>28</v>
      </c>
      <c r="C18" s="1" t="s">
        <v>29</v>
      </c>
      <c r="D18" s="1" t="s">
        <v>30</v>
      </c>
      <c r="E18" s="1"/>
      <c r="F18" s="119" t="s">
        <v>22</v>
      </c>
      <c r="G18" s="119"/>
      <c r="H18" s="119"/>
      <c r="I18" s="119"/>
      <c r="J18" s="119"/>
      <c r="K18" s="1"/>
      <c r="L18" s="1"/>
      <c r="M18" s="1"/>
      <c r="N18" s="1"/>
      <c r="O18" s="1"/>
    </row>
    <row r="19" spans="1:15" ht="74.25" customHeight="1" thickBot="1">
      <c r="A19" s="24" t="s">
        <v>20</v>
      </c>
      <c r="B19" s="34">
        <f>B21*H6/H20</f>
        <v>6779.699999999999</v>
      </c>
      <c r="C19" s="34">
        <f>B21*H7/H21</f>
        <v>6288.417391304348</v>
      </c>
      <c r="D19" s="34">
        <f>B21*H8/H22</f>
        <v>2854.6105263157892</v>
      </c>
      <c r="E19" s="1"/>
      <c r="F19" s="26" t="s">
        <v>10</v>
      </c>
      <c r="G19" s="27" t="s">
        <v>25</v>
      </c>
      <c r="H19" s="26" t="s">
        <v>26</v>
      </c>
      <c r="I19" s="28" t="s">
        <v>27</v>
      </c>
      <c r="J19" s="28" t="s">
        <v>23</v>
      </c>
      <c r="K19" s="28" t="s">
        <v>24</v>
      </c>
      <c r="L19" s="1"/>
      <c r="M19" s="1"/>
      <c r="N19" s="1"/>
      <c r="O19" s="1"/>
    </row>
    <row r="20" spans="1:15" ht="47.25" thickBot="1">
      <c r="A20" s="25" t="s">
        <v>21</v>
      </c>
      <c r="B20" s="1"/>
      <c r="C20" s="1"/>
      <c r="D20" s="1"/>
      <c r="E20" s="1"/>
      <c r="F20" s="5">
        <v>5</v>
      </c>
      <c r="G20" s="18">
        <v>1</v>
      </c>
      <c r="H20" s="18">
        <v>1.6</v>
      </c>
      <c r="I20" s="35">
        <f>B19</f>
        <v>6779.699999999999</v>
      </c>
      <c r="J20" s="35">
        <f>B26</f>
        <v>6305.120999999998</v>
      </c>
      <c r="K20" s="29">
        <f>B24</f>
        <v>0.9299999999999999</v>
      </c>
      <c r="L20" s="1"/>
      <c r="M20" s="1"/>
      <c r="N20" s="1"/>
      <c r="O20" s="1"/>
    </row>
    <row r="21" spans="1:15" ht="21" thickBot="1">
      <c r="A21" s="22" t="s">
        <v>18</v>
      </c>
      <c r="B21" s="1">
        <f>B10*B11*8*(1-B12/100)</f>
        <v>3615.8399999999997</v>
      </c>
      <c r="C21" s="1"/>
      <c r="D21" s="1"/>
      <c r="E21" s="1"/>
      <c r="F21" s="4"/>
      <c r="G21" s="19">
        <v>2</v>
      </c>
      <c r="H21" s="19">
        <v>2.3</v>
      </c>
      <c r="I21" s="36">
        <f>C19</f>
        <v>6288.417391304348</v>
      </c>
      <c r="J21" s="36">
        <f>C26</f>
        <v>5848.228173913043</v>
      </c>
      <c r="K21" s="37">
        <f>C24</f>
        <v>0.862608695652174</v>
      </c>
      <c r="L21" s="1"/>
      <c r="M21" s="1"/>
      <c r="N21" s="1"/>
      <c r="O21" s="1"/>
    </row>
    <row r="22" spans="1:15" ht="120.75" thickBot="1">
      <c r="A22" s="25" t="s">
        <v>31</v>
      </c>
      <c r="B22" s="1"/>
      <c r="C22" s="1"/>
      <c r="D22" s="1"/>
      <c r="E22" s="1"/>
      <c r="F22" s="4"/>
      <c r="G22" s="19">
        <v>3</v>
      </c>
      <c r="H22" s="19">
        <v>3.8</v>
      </c>
      <c r="I22" s="36">
        <f>D19</f>
        <v>2854.6105263157892</v>
      </c>
      <c r="J22" s="36">
        <f>D26</f>
        <v>2654.787789473684</v>
      </c>
      <c r="K22" s="30">
        <f>D24</f>
        <v>0.9299999999999999</v>
      </c>
      <c r="L22" s="1"/>
      <c r="M22" s="1"/>
      <c r="N22" s="1"/>
      <c r="O22" s="1"/>
    </row>
    <row r="23" spans="1:15" ht="105">
      <c r="A23" s="25" t="s">
        <v>32</v>
      </c>
      <c r="B23" s="1" t="s">
        <v>34</v>
      </c>
      <c r="C23" s="1" t="s">
        <v>35</v>
      </c>
      <c r="D23" s="1" t="s">
        <v>36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0.25">
      <c r="A24" s="22" t="s">
        <v>33</v>
      </c>
      <c r="B24" s="1">
        <f>B26/B19</f>
        <v>0.9299999999999999</v>
      </c>
      <c r="C24" s="33">
        <f>C26/B19</f>
        <v>0.862608695652174</v>
      </c>
      <c r="D24" s="1">
        <f>D26/D19</f>
        <v>0.9299999999999999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61.5">
      <c r="A25" s="25" t="s">
        <v>40</v>
      </c>
      <c r="B25" s="1" t="s">
        <v>37</v>
      </c>
      <c r="C25" s="1" t="s">
        <v>39</v>
      </c>
      <c r="D25" s="1" t="s">
        <v>38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 t="s">
        <v>41</v>
      </c>
      <c r="B26" s="34">
        <f>B19*(1-B12/100)</f>
        <v>6305.120999999998</v>
      </c>
      <c r="C26" s="34">
        <f>C19*(1-0.07)</f>
        <v>5848.228173913043</v>
      </c>
      <c r="D26" s="34">
        <f>D19*(1-0.07)</f>
        <v>2654.787789473684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95" t="s">
        <v>42</v>
      </c>
      <c r="B27" s="95"/>
      <c r="C27" s="95"/>
      <c r="D27" s="95"/>
      <c r="E27" s="95"/>
      <c r="F27" s="95"/>
      <c r="G27" s="95"/>
      <c r="H27" s="95"/>
      <c r="I27" s="1"/>
      <c r="J27" s="1"/>
      <c r="K27" s="1"/>
      <c r="L27" s="1"/>
      <c r="M27" s="1"/>
      <c r="N27" s="1"/>
      <c r="O27" s="1"/>
    </row>
    <row r="28" spans="1:15" ht="13.5" thickBot="1">
      <c r="A28" s="117" t="s">
        <v>43</v>
      </c>
      <c r="B28" s="117"/>
      <c r="C28" s="117"/>
      <c r="D28" s="117"/>
      <c r="E28" s="117"/>
      <c r="F28" s="117"/>
      <c r="G28" s="117"/>
      <c r="H28" s="117"/>
      <c r="I28" s="1"/>
      <c r="J28" s="1"/>
      <c r="K28" s="1"/>
      <c r="L28" s="1"/>
      <c r="M28" s="1"/>
      <c r="N28" s="1"/>
      <c r="O28" s="1"/>
    </row>
    <row r="29" spans="1:10" ht="16.5" customHeight="1">
      <c r="A29" s="121" t="s">
        <v>44</v>
      </c>
      <c r="B29" s="121" t="s">
        <v>56</v>
      </c>
      <c r="C29" s="124" t="s">
        <v>45</v>
      </c>
      <c r="D29" s="125"/>
      <c r="E29" s="126"/>
      <c r="F29" s="40" t="s">
        <v>57</v>
      </c>
      <c r="G29" s="1"/>
      <c r="H29" s="1"/>
      <c r="I29" s="1"/>
      <c r="J29" s="1"/>
    </row>
    <row r="30" spans="1:10" ht="30.75" customHeight="1" thickBot="1">
      <c r="A30" s="122"/>
      <c r="B30" s="122"/>
      <c r="C30" s="127"/>
      <c r="D30" s="128"/>
      <c r="E30" s="129"/>
      <c r="F30" s="41" t="s">
        <v>58</v>
      </c>
      <c r="G30" s="1"/>
      <c r="H30" s="1"/>
      <c r="I30" s="1"/>
      <c r="J30" s="1"/>
    </row>
    <row r="31" spans="1:10" ht="16.5" thickBot="1">
      <c r="A31" s="123"/>
      <c r="B31" s="123"/>
      <c r="C31" s="43" t="s">
        <v>46</v>
      </c>
      <c r="D31" s="43" t="s">
        <v>47</v>
      </c>
      <c r="E31" s="43" t="s">
        <v>48</v>
      </c>
      <c r="F31" s="42" t="s">
        <v>59</v>
      </c>
      <c r="G31" s="1"/>
      <c r="H31" s="1"/>
      <c r="I31" s="1"/>
      <c r="J31" s="1"/>
    </row>
    <row r="32" spans="1:10" ht="16.5" thickBot="1">
      <c r="A32" s="44" t="s">
        <v>49</v>
      </c>
      <c r="B32" s="45"/>
      <c r="C32" s="45">
        <v>2000</v>
      </c>
      <c r="D32" s="45">
        <v>1250</v>
      </c>
      <c r="E32" s="45">
        <v>1500</v>
      </c>
      <c r="F32" s="51">
        <f>(C32+D32+E32)/3</f>
        <v>1583.3333333333333</v>
      </c>
      <c r="G32" s="1"/>
      <c r="H32" s="1"/>
      <c r="I32" s="1"/>
      <c r="J32" s="1"/>
    </row>
    <row r="33" spans="1:10" ht="16.5" thickBot="1">
      <c r="A33" s="44" t="s">
        <v>50</v>
      </c>
      <c r="B33" s="45"/>
      <c r="C33" s="45">
        <v>250</v>
      </c>
      <c r="D33" s="45">
        <v>125</v>
      </c>
      <c r="E33" s="45">
        <v>150</v>
      </c>
      <c r="F33" s="45">
        <f>(E33+D33+C33)/3</f>
        <v>175</v>
      </c>
      <c r="G33" s="1"/>
      <c r="H33" s="1"/>
      <c r="I33" s="1"/>
      <c r="J33" s="1"/>
    </row>
    <row r="34" spans="1:10" ht="16.5" thickBot="1">
      <c r="A34" s="44" t="s">
        <v>51</v>
      </c>
      <c r="B34" s="45"/>
      <c r="C34" s="46">
        <v>1850</v>
      </c>
      <c r="D34" s="46">
        <v>1100</v>
      </c>
      <c r="E34" s="46">
        <v>1250</v>
      </c>
      <c r="F34" s="46">
        <f>(E34+D34+C34)/3</f>
        <v>1400</v>
      </c>
      <c r="G34" s="1"/>
      <c r="H34" s="1"/>
      <c r="I34" s="1"/>
      <c r="J34" s="1"/>
    </row>
    <row r="35" spans="1:10" ht="16.5" thickBot="1">
      <c r="A35" s="49" t="s">
        <v>52</v>
      </c>
      <c r="B35" s="45"/>
      <c r="C35" s="45">
        <v>500</v>
      </c>
      <c r="D35" s="45">
        <v>350</v>
      </c>
      <c r="E35" s="45">
        <v>425</v>
      </c>
      <c r="F35" s="45">
        <f>(E35+D35+C35)/3</f>
        <v>425</v>
      </c>
      <c r="G35" s="1"/>
      <c r="H35" s="1"/>
      <c r="I35" s="1"/>
      <c r="J35" s="1"/>
    </row>
    <row r="36" spans="1:10" ht="16.5" thickBot="1">
      <c r="A36" s="44" t="s">
        <v>64</v>
      </c>
      <c r="B36" s="45">
        <f>B13</f>
        <v>26</v>
      </c>
      <c r="C36" s="45">
        <f>C35*0.26</f>
        <v>130</v>
      </c>
      <c r="D36" s="45">
        <f>D35*0.26</f>
        <v>91</v>
      </c>
      <c r="E36" s="45">
        <f>E35*0.26</f>
        <v>110.5</v>
      </c>
      <c r="F36" s="45">
        <f>(E36+D36+C36)/3</f>
        <v>110.5</v>
      </c>
      <c r="G36" s="1"/>
      <c r="H36" s="1"/>
      <c r="I36" s="1"/>
      <c r="J36" s="1"/>
    </row>
    <row r="37" spans="1:10" ht="16.5" thickBot="1">
      <c r="A37" s="47" t="s">
        <v>53</v>
      </c>
      <c r="B37" s="46"/>
      <c r="C37" s="46">
        <f>C32+C33+C34+C35+C36</f>
        <v>4730</v>
      </c>
      <c r="D37" s="46">
        <f>D32+D33+D34+D35+D36</f>
        <v>2916</v>
      </c>
      <c r="E37" s="46">
        <f>E32+E33+E34+E35+E36</f>
        <v>3435.5</v>
      </c>
      <c r="F37" s="52">
        <f>(C37+D37+E37)/3</f>
        <v>3693.8333333333335</v>
      </c>
      <c r="G37" s="1"/>
      <c r="H37" s="1"/>
      <c r="I37" s="1"/>
      <c r="J37" s="1"/>
    </row>
    <row r="38" spans="1:10" ht="16.5" thickBot="1">
      <c r="A38" s="44" t="s">
        <v>65</v>
      </c>
      <c r="B38" s="45">
        <f>B14</f>
        <v>210</v>
      </c>
      <c r="C38" s="45">
        <f>C37*B38/100</f>
        <v>9933</v>
      </c>
      <c r="D38" s="45">
        <f>D37*2.1</f>
        <v>6123.6</v>
      </c>
      <c r="E38" s="45">
        <f>E37*2.1</f>
        <v>7214.55</v>
      </c>
      <c r="F38" s="45">
        <f>(C38+D38+E38)/3</f>
        <v>7757.05</v>
      </c>
      <c r="G38" s="1"/>
      <c r="H38" s="1"/>
      <c r="I38" s="1"/>
      <c r="J38" s="1"/>
    </row>
    <row r="39" spans="1:10" ht="16.5" thickBot="1">
      <c r="A39" s="47" t="s">
        <v>54</v>
      </c>
      <c r="B39" s="46"/>
      <c r="C39" s="46">
        <f>C37+C38</f>
        <v>14663</v>
      </c>
      <c r="D39" s="46">
        <f>D37+D38</f>
        <v>9039.6</v>
      </c>
      <c r="E39" s="46">
        <f>E37+E38</f>
        <v>10650.05</v>
      </c>
      <c r="F39" s="51">
        <f aca="true" t="shared" si="0" ref="F39:F45">(C39+D39+E39)/3</f>
        <v>11450.883333333331</v>
      </c>
      <c r="G39" s="1"/>
      <c r="H39" s="1"/>
      <c r="I39" s="1"/>
      <c r="J39" s="1"/>
    </row>
    <row r="40" spans="1:10" ht="16.5" thickBot="1">
      <c r="A40" s="44" t="s">
        <v>66</v>
      </c>
      <c r="B40" s="45">
        <v>2</v>
      </c>
      <c r="C40" s="53">
        <f>C39*0.02</f>
        <v>293.26</v>
      </c>
      <c r="D40" s="53">
        <f>D39*0.02</f>
        <v>180.792</v>
      </c>
      <c r="E40" s="53">
        <f>E39*0.02</f>
        <v>213.00099999999998</v>
      </c>
      <c r="F40" s="50">
        <f t="shared" si="0"/>
        <v>229.01766666666666</v>
      </c>
      <c r="G40" s="1"/>
      <c r="H40" s="1"/>
      <c r="I40" s="1"/>
      <c r="J40" s="1"/>
    </row>
    <row r="41" spans="1:10" ht="16.5" thickBot="1">
      <c r="A41" s="47" t="s">
        <v>60</v>
      </c>
      <c r="B41" s="46"/>
      <c r="C41" s="54">
        <f>C39+C40</f>
        <v>14956.26</v>
      </c>
      <c r="D41" s="54">
        <f>D39+D40</f>
        <v>9220.392</v>
      </c>
      <c r="E41" s="54">
        <f>E39+E40</f>
        <v>10863.051</v>
      </c>
      <c r="F41" s="51">
        <f t="shared" si="0"/>
        <v>11679.901</v>
      </c>
      <c r="G41" s="1"/>
      <c r="H41" s="1"/>
      <c r="I41" s="1"/>
      <c r="J41" s="1"/>
    </row>
    <row r="42" spans="1:10" ht="16.5" thickBot="1">
      <c r="A42" s="44" t="s">
        <v>55</v>
      </c>
      <c r="B42" s="45">
        <v>30</v>
      </c>
      <c r="C42" s="51">
        <f>C41*0.3</f>
        <v>4486.878</v>
      </c>
      <c r="D42" s="51">
        <f>D41*0.3</f>
        <v>2766.1176</v>
      </c>
      <c r="E42" s="51">
        <f>E41*0.3</f>
        <v>3258.9152999999997</v>
      </c>
      <c r="F42" s="51">
        <f t="shared" si="0"/>
        <v>3503.9702999999995</v>
      </c>
      <c r="G42" s="1"/>
      <c r="H42" s="1"/>
      <c r="I42" s="1"/>
      <c r="J42" s="1"/>
    </row>
    <row r="43" spans="1:10" ht="16.5" thickBot="1">
      <c r="A43" s="47" t="s">
        <v>61</v>
      </c>
      <c r="B43" s="46"/>
      <c r="C43" s="52">
        <f>C41+C42</f>
        <v>19443.138</v>
      </c>
      <c r="D43" s="52">
        <f>D41+D42</f>
        <v>11986.5096</v>
      </c>
      <c r="E43" s="52">
        <f>E41+E42</f>
        <v>14121.9663</v>
      </c>
      <c r="F43" s="51">
        <f t="shared" si="0"/>
        <v>15183.871299999999</v>
      </c>
      <c r="G43" s="1"/>
      <c r="H43" s="1"/>
      <c r="I43" s="1"/>
      <c r="J43" s="1"/>
    </row>
    <row r="44" spans="1:10" ht="16.5" thickBot="1">
      <c r="A44" s="44" t="s">
        <v>63</v>
      </c>
      <c r="B44" s="45">
        <v>18</v>
      </c>
      <c r="C44" s="51">
        <f>C43*0.18</f>
        <v>3499.76484</v>
      </c>
      <c r="D44" s="51">
        <f>D43*0.18</f>
        <v>2157.571728</v>
      </c>
      <c r="E44" s="51">
        <f>E43*0.18</f>
        <v>2541.953934</v>
      </c>
      <c r="F44" s="51">
        <f t="shared" si="0"/>
        <v>2733.096834</v>
      </c>
      <c r="G44" s="1"/>
      <c r="H44" s="1"/>
      <c r="I44" s="1"/>
      <c r="J44" s="1"/>
    </row>
    <row r="45" spans="1:10" ht="19.5" thickBot="1">
      <c r="A45" s="47" t="s">
        <v>62</v>
      </c>
      <c r="B45" s="48"/>
      <c r="C45" s="55">
        <f>C43+C44</f>
        <v>22942.90284</v>
      </c>
      <c r="D45" s="55">
        <f>D43+D44</f>
        <v>14144.081328</v>
      </c>
      <c r="E45" s="55">
        <f>E43+E44</f>
        <v>16663.920234</v>
      </c>
      <c r="F45" s="51">
        <f t="shared" si="0"/>
        <v>17916.968134</v>
      </c>
      <c r="G45" s="1"/>
      <c r="H45" s="1"/>
      <c r="I45" s="1"/>
      <c r="J45" s="1"/>
    </row>
    <row r="46" spans="1:15" ht="12.75">
      <c r="A46" s="95" t="s">
        <v>67</v>
      </c>
      <c r="B46" s="95"/>
      <c r="C46" s="95"/>
      <c r="D46" s="95"/>
      <c r="E46" s="95"/>
      <c r="F46" s="95"/>
      <c r="G46" s="95"/>
      <c r="H46" s="95"/>
      <c r="I46" s="1"/>
      <c r="J46" s="1"/>
      <c r="K46" s="1"/>
      <c r="L46" s="1"/>
      <c r="M46" s="1"/>
      <c r="N46" s="1"/>
      <c r="O46" s="1"/>
    </row>
    <row r="47" spans="1:15" ht="13.5" thickBot="1">
      <c r="A47" s="117" t="s">
        <v>68</v>
      </c>
      <c r="B47" s="117"/>
      <c r="C47" s="117"/>
      <c r="D47" s="117"/>
      <c r="E47" s="117"/>
      <c r="F47" s="117"/>
      <c r="G47" s="117"/>
      <c r="H47" s="117"/>
      <c r="I47" s="1"/>
      <c r="J47" s="1"/>
      <c r="K47" s="1"/>
      <c r="L47" s="1"/>
      <c r="M47" s="1"/>
      <c r="N47" s="1"/>
      <c r="O47" s="1"/>
    </row>
    <row r="48" spans="1:15" ht="30" customHeight="1">
      <c r="A48" s="101" t="s">
        <v>70</v>
      </c>
      <c r="B48" s="104" t="s">
        <v>71</v>
      </c>
      <c r="C48" s="105"/>
      <c r="D48" s="108" t="s">
        <v>72</v>
      </c>
      <c r="E48" s="109"/>
      <c r="F48" s="110"/>
      <c r="G48" s="63" t="s">
        <v>73</v>
      </c>
      <c r="H48" s="11" t="s">
        <v>75</v>
      </c>
      <c r="I48" s="120"/>
      <c r="J48" s="120"/>
      <c r="K48" s="1"/>
      <c r="L48" s="1"/>
      <c r="M48" s="1"/>
      <c r="N48" s="1"/>
      <c r="O48" s="1"/>
    </row>
    <row r="49" spans="1:15" ht="15.75" thickBot="1">
      <c r="A49" s="102"/>
      <c r="B49" s="106"/>
      <c r="C49" s="107"/>
      <c r="D49" s="111"/>
      <c r="E49" s="112"/>
      <c r="F49" s="113"/>
      <c r="G49" s="56" t="s">
        <v>74</v>
      </c>
      <c r="H49" s="56" t="s">
        <v>76</v>
      </c>
      <c r="I49" s="120"/>
      <c r="J49" s="120"/>
      <c r="K49" s="1"/>
      <c r="L49" s="1"/>
      <c r="M49" s="1"/>
      <c r="N49" s="1"/>
      <c r="O49" s="1"/>
    </row>
    <row r="50" spans="1:15" ht="15.75" customHeight="1">
      <c r="A50" s="102"/>
      <c r="B50" s="114" t="s">
        <v>78</v>
      </c>
      <c r="C50" s="58"/>
      <c r="D50" s="12" t="s">
        <v>80</v>
      </c>
      <c r="E50" s="12" t="s">
        <v>82</v>
      </c>
      <c r="F50" s="12" t="s">
        <v>85</v>
      </c>
      <c r="G50" s="57"/>
      <c r="H50" s="56" t="s">
        <v>77</v>
      </c>
      <c r="I50" s="120"/>
      <c r="J50" s="120"/>
      <c r="K50" s="1"/>
      <c r="L50" s="1"/>
      <c r="M50" s="1"/>
      <c r="N50" s="1"/>
      <c r="O50" s="1"/>
    </row>
    <row r="51" spans="1:15" ht="31.5">
      <c r="A51" s="102"/>
      <c r="B51" s="115"/>
      <c r="C51" s="58" t="s">
        <v>79</v>
      </c>
      <c r="D51" s="12" t="s">
        <v>81</v>
      </c>
      <c r="E51" s="12" t="s">
        <v>83</v>
      </c>
      <c r="F51" s="12" t="s">
        <v>84</v>
      </c>
      <c r="G51" s="57"/>
      <c r="H51" s="57"/>
      <c r="I51" s="61"/>
      <c r="J51" s="61"/>
      <c r="K51" s="1"/>
      <c r="L51" s="1"/>
      <c r="M51" s="1"/>
      <c r="N51" s="1"/>
      <c r="O51" s="1"/>
    </row>
    <row r="52" spans="1:15" ht="16.5" thickBot="1">
      <c r="A52" s="103"/>
      <c r="B52" s="116"/>
      <c r="C52" s="13"/>
      <c r="D52" s="13"/>
      <c r="E52" s="14" t="s">
        <v>84</v>
      </c>
      <c r="F52" s="13"/>
      <c r="G52" s="13"/>
      <c r="H52" s="13"/>
      <c r="I52" s="62"/>
      <c r="J52" s="62"/>
      <c r="K52" s="1"/>
      <c r="L52" s="1"/>
      <c r="M52" s="1"/>
      <c r="N52" s="1"/>
      <c r="O52" s="1"/>
    </row>
    <row r="53" spans="1:15" ht="16.5" thickBot="1">
      <c r="A53" s="59">
        <v>1</v>
      </c>
      <c r="B53" s="60">
        <v>2</v>
      </c>
      <c r="C53" s="20">
        <v>3</v>
      </c>
      <c r="D53" s="20">
        <v>4</v>
      </c>
      <c r="E53" s="20">
        <v>5</v>
      </c>
      <c r="F53" s="20">
        <v>6</v>
      </c>
      <c r="G53" s="20">
        <v>7</v>
      </c>
      <c r="H53" s="20">
        <v>8</v>
      </c>
      <c r="I53" s="62"/>
      <c r="J53" s="62"/>
      <c r="K53" s="1"/>
      <c r="L53" s="1"/>
      <c r="M53" s="1"/>
      <c r="N53" s="1"/>
      <c r="O53" s="1"/>
    </row>
    <row r="54" spans="1:15" ht="16.5" thickBot="1">
      <c r="A54" s="47" t="s">
        <v>46</v>
      </c>
      <c r="B54" s="38">
        <f>B7</f>
        <v>130</v>
      </c>
      <c r="C54" s="64">
        <f>B54*C45/1000</f>
        <v>2982.5773692000002</v>
      </c>
      <c r="D54" s="67">
        <f>C37/1000</f>
        <v>4.73</v>
      </c>
      <c r="E54" s="67">
        <f>C38/1000</f>
        <v>9.933</v>
      </c>
      <c r="F54" s="67">
        <f>D54+E54</f>
        <v>14.663</v>
      </c>
      <c r="G54" s="64">
        <f>C54-D54</f>
        <v>2977.8473692000002</v>
      </c>
      <c r="H54" s="64">
        <f>(G54-E54)*12</f>
        <v>35614.972430400005</v>
      </c>
      <c r="I54" s="62"/>
      <c r="J54" s="62"/>
      <c r="K54" s="1"/>
      <c r="L54" s="1"/>
      <c r="M54" s="1"/>
      <c r="N54" s="1"/>
      <c r="O54" s="1"/>
    </row>
    <row r="55" spans="1:15" ht="16.5" thickBot="1">
      <c r="A55" s="47" t="s">
        <v>47</v>
      </c>
      <c r="B55" s="38">
        <f>B8</f>
        <v>85</v>
      </c>
      <c r="C55" s="64">
        <f>B55*D45/1000</f>
        <v>1202.2469128799999</v>
      </c>
      <c r="D55" s="67">
        <f>D37/1000</f>
        <v>2.916</v>
      </c>
      <c r="E55" s="67">
        <f>D38/1000</f>
        <v>6.123600000000001</v>
      </c>
      <c r="F55" s="67">
        <f>D55+E55</f>
        <v>9.0396</v>
      </c>
      <c r="G55" s="64">
        <f>C55-D55</f>
        <v>1199.33091288</v>
      </c>
      <c r="H55" s="64">
        <f>(G55-E55)*12</f>
        <v>14318.48775456</v>
      </c>
      <c r="I55" s="62"/>
      <c r="J55" s="62"/>
      <c r="K55" s="1"/>
      <c r="L55" s="1"/>
      <c r="M55" s="1"/>
      <c r="N55" s="1"/>
      <c r="O55" s="1"/>
    </row>
    <row r="56" spans="1:15" ht="16.5" thickBot="1">
      <c r="A56" s="47" t="s">
        <v>48</v>
      </c>
      <c r="B56" s="38">
        <f>B9</f>
        <v>75</v>
      </c>
      <c r="C56" s="64">
        <f>B56*E45/1000</f>
        <v>1249.79401755</v>
      </c>
      <c r="D56" s="67">
        <f>E37/1000</f>
        <v>3.4355</v>
      </c>
      <c r="E56" s="67">
        <f>E38/1000</f>
        <v>7.21455</v>
      </c>
      <c r="F56" s="67">
        <f>D56+E56</f>
        <v>10.65005</v>
      </c>
      <c r="G56" s="64">
        <f>C56-D56</f>
        <v>1246.35851755</v>
      </c>
      <c r="H56" s="64">
        <f>(G56-E56)*12</f>
        <v>14869.7276106</v>
      </c>
      <c r="I56" s="1"/>
      <c r="J56" s="1"/>
      <c r="K56" s="1"/>
      <c r="L56" s="1"/>
      <c r="M56" s="1"/>
      <c r="N56" s="1"/>
      <c r="O56" s="1"/>
    </row>
    <row r="57" spans="1:15" ht="16.5" thickBot="1">
      <c r="A57" s="39" t="s">
        <v>15</v>
      </c>
      <c r="B57" s="81">
        <f>B54+B55+B56</f>
        <v>290</v>
      </c>
      <c r="C57" s="65">
        <f>C54+C55+C56</f>
        <v>5434.61829963</v>
      </c>
      <c r="D57" s="65">
        <f>D54+D56+D55</f>
        <v>11.081500000000002</v>
      </c>
      <c r="E57" s="65">
        <f>E54+E56+E55</f>
        <v>23.27115</v>
      </c>
      <c r="F57" s="65">
        <f>F54+F56+F55</f>
        <v>34.35265</v>
      </c>
      <c r="G57" s="66">
        <f>G54+G56+G55</f>
        <v>5423.53679963</v>
      </c>
      <c r="H57" s="65">
        <f>H54+H56+H55</f>
        <v>64803.18779556001</v>
      </c>
      <c r="I57" s="1"/>
      <c r="J57" s="1"/>
      <c r="K57" s="1"/>
      <c r="L57" s="1"/>
      <c r="M57" s="1"/>
      <c r="N57" s="1"/>
      <c r="O57" s="1"/>
    </row>
    <row r="58" spans="1:15" ht="12.75">
      <c r="A58" s="1"/>
      <c r="B58" s="1" t="s">
        <v>175</v>
      </c>
      <c r="C58" s="33">
        <f>C57/3*B86</f>
        <v>2101385.7425236003</v>
      </c>
      <c r="D58" s="33">
        <f>(D57/3)*B86</f>
        <v>4284.846666666667</v>
      </c>
      <c r="E58" s="1">
        <f>E57/3*B86</f>
        <v>8998.178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25.5" customHeight="1">
      <c r="A59" s="95" t="s">
        <v>86</v>
      </c>
      <c r="B59" s="95"/>
      <c r="C59" s="95"/>
      <c r="D59" s="95"/>
      <c r="E59" s="95"/>
      <c r="F59" s="95"/>
      <c r="G59" s="95"/>
      <c r="H59" s="1"/>
      <c r="I59" s="1"/>
      <c r="J59" s="1"/>
      <c r="K59" s="1"/>
      <c r="L59" s="1"/>
      <c r="M59" s="1"/>
      <c r="N59" s="1"/>
      <c r="O59" s="1"/>
    </row>
    <row r="60" spans="1:15" ht="12.75">
      <c r="A60" s="1" t="s">
        <v>87</v>
      </c>
      <c r="B60" s="93">
        <f>G54/H54</f>
        <v>0.08361223288939536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 t="s">
        <v>88</v>
      </c>
      <c r="B61" s="93">
        <f>G55/H55</f>
        <v>0.08376100419529638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 t="s">
        <v>89</v>
      </c>
      <c r="B62" s="93">
        <f>G56/H56</f>
        <v>0.08381851706964179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32.25" customHeight="1">
      <c r="A63" s="95" t="s">
        <v>90</v>
      </c>
      <c r="B63" s="95"/>
      <c r="C63" s="95"/>
      <c r="D63" s="95"/>
      <c r="E63" s="95"/>
      <c r="F63" s="95"/>
      <c r="G63" s="95"/>
      <c r="H63" s="1"/>
      <c r="I63" s="1"/>
      <c r="J63" s="1"/>
      <c r="K63" s="1"/>
      <c r="L63" s="1"/>
      <c r="M63" s="1"/>
      <c r="N63" s="1"/>
      <c r="O63" s="1"/>
    </row>
    <row r="64" spans="1:15" ht="13.5" thickBot="1">
      <c r="A64" s="95" t="s">
        <v>91</v>
      </c>
      <c r="B64" s="95"/>
      <c r="C64" s="95"/>
      <c r="D64" s="9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6.5" thickBot="1">
      <c r="A65" s="97" t="s">
        <v>92</v>
      </c>
      <c r="B65" s="99" t="s">
        <v>103</v>
      </c>
      <c r="C65" s="100"/>
      <c r="D65" s="7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6.5" thickBot="1">
      <c r="A66" s="98"/>
      <c r="B66" s="20" t="s">
        <v>101</v>
      </c>
      <c r="C66" s="73" t="s">
        <v>102</v>
      </c>
      <c r="D66" s="6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33" customHeight="1" thickBot="1">
      <c r="A67" s="72" t="s">
        <v>94</v>
      </c>
      <c r="B67" s="75">
        <f>C57</f>
        <v>5434.61829963</v>
      </c>
      <c r="C67" s="75">
        <f>B67*12</f>
        <v>65215.41959556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46.5" customHeight="1" thickBot="1">
      <c r="A68" s="74" t="s">
        <v>100</v>
      </c>
      <c r="B68" s="76">
        <f>F57</f>
        <v>34.35265</v>
      </c>
      <c r="C68" s="77">
        <f>B68*12</f>
        <v>412.23179999999996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32.25" customHeight="1" thickBot="1">
      <c r="A69" s="68" t="s">
        <v>93</v>
      </c>
      <c r="B69" s="78">
        <f>H57</f>
        <v>64803.18779556001</v>
      </c>
      <c r="C69" s="77">
        <f aca="true" t="shared" si="1" ref="C69:C77">B69*12</f>
        <v>777638.2535467201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50.25" customHeight="1" thickBot="1">
      <c r="A70" s="74" t="s">
        <v>95</v>
      </c>
      <c r="B70" s="77">
        <f>B69*0.03</f>
        <v>1944.0956338668002</v>
      </c>
      <c r="C70" s="77">
        <f t="shared" si="1"/>
        <v>23329.147606401602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38.25" customHeight="1" thickBot="1">
      <c r="A71" s="71" t="s">
        <v>104</v>
      </c>
      <c r="B71" s="78">
        <f>B69+B70</f>
        <v>66747.28342942681</v>
      </c>
      <c r="C71" s="77">
        <f t="shared" si="1"/>
        <v>800967.4011531217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32.25" thickBot="1">
      <c r="A72" s="79" t="s">
        <v>105</v>
      </c>
      <c r="B72" s="78">
        <f>B73+B74</f>
        <v>12099.683803200802</v>
      </c>
      <c r="C72" s="77">
        <f t="shared" si="1"/>
        <v>145196.20563840962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32.25" thickBot="1">
      <c r="A73" s="68" t="s">
        <v>96</v>
      </c>
      <c r="B73" s="78">
        <f>J9*0.13</f>
        <v>435.11</v>
      </c>
      <c r="C73" s="77">
        <f t="shared" si="1"/>
        <v>5221.32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32.25" thickBot="1">
      <c r="A74" s="68" t="s">
        <v>97</v>
      </c>
      <c r="B74" s="78">
        <f>B69*0.18</f>
        <v>11664.573803200801</v>
      </c>
      <c r="C74" s="77">
        <f t="shared" si="1"/>
        <v>139974.8856384096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6.5" thickBot="1">
      <c r="A75" s="68" t="s">
        <v>98</v>
      </c>
      <c r="B75" s="78">
        <f>B71-B72</f>
        <v>54647.59962622601</v>
      </c>
      <c r="C75" s="77">
        <f t="shared" si="1"/>
        <v>655771.1955147121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32.25" thickBot="1">
      <c r="A76" s="68" t="s">
        <v>106</v>
      </c>
      <c r="B76" s="78">
        <f>B75*0.2</f>
        <v>10929.519925245202</v>
      </c>
      <c r="C76" s="77">
        <f t="shared" si="1"/>
        <v>131154.23910294243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32.25" thickBot="1">
      <c r="A77" s="68" t="s">
        <v>99</v>
      </c>
      <c r="B77" s="78">
        <f>B75-B76</f>
        <v>43718.07970098081</v>
      </c>
      <c r="C77" s="77">
        <f t="shared" si="1"/>
        <v>524616.9564117697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33" customHeight="1">
      <c r="A78" s="130" t="s">
        <v>107</v>
      </c>
      <c r="B78" s="130"/>
      <c r="C78" s="130"/>
      <c r="D78" s="130"/>
      <c r="E78" s="130"/>
      <c r="F78" s="130"/>
      <c r="G78" s="1"/>
      <c r="H78" s="1"/>
      <c r="I78" s="1"/>
      <c r="J78" s="1"/>
      <c r="K78" s="1"/>
      <c r="L78" s="1"/>
      <c r="M78" s="1"/>
      <c r="N78" s="1"/>
      <c r="O78" s="1"/>
    </row>
    <row r="79" spans="1:15" ht="20.25">
      <c r="A79" s="80" t="s">
        <v>108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3.5" thickBot="1">
      <c r="A80" s="95" t="s">
        <v>109</v>
      </c>
      <c r="B80" s="95"/>
      <c r="C80" s="95"/>
      <c r="D80" s="95"/>
      <c r="E80" s="95"/>
      <c r="F80" s="95"/>
      <c r="G80" s="1"/>
      <c r="H80" s="1"/>
      <c r="I80" s="1"/>
      <c r="J80" s="1"/>
      <c r="K80" s="1"/>
      <c r="L80" s="1"/>
      <c r="M80" s="1"/>
      <c r="N80" s="1"/>
      <c r="O80" s="1"/>
    </row>
    <row r="81" spans="1:15" ht="63" customHeight="1" thickBot="1">
      <c r="A81" s="82" t="s">
        <v>70</v>
      </c>
      <c r="B81" s="83" t="s">
        <v>111</v>
      </c>
      <c r="C81" s="84" t="s">
        <v>110</v>
      </c>
      <c r="D81" s="83" t="s">
        <v>112</v>
      </c>
      <c r="E81" s="83" t="s">
        <v>113</v>
      </c>
      <c r="F81" s="84" t="s">
        <v>114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ht="16.5" thickBot="1">
      <c r="A82" s="47" t="s">
        <v>46</v>
      </c>
      <c r="B82" s="38">
        <f>B54*12</f>
        <v>1560</v>
      </c>
      <c r="C82" s="85">
        <f>C41</f>
        <v>14956.26</v>
      </c>
      <c r="D82" s="45">
        <v>12</v>
      </c>
      <c r="E82" s="45">
        <v>0.3</v>
      </c>
      <c r="F82" s="64">
        <f>B82*C82*D82*E82/1000</f>
        <v>83994.35616000001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16.5" thickBot="1">
      <c r="A83" s="47" t="s">
        <v>47</v>
      </c>
      <c r="B83" s="38">
        <f>B55*12</f>
        <v>1020</v>
      </c>
      <c r="C83" s="85">
        <f>D41</f>
        <v>9220.392</v>
      </c>
      <c r="D83" s="45">
        <v>7</v>
      </c>
      <c r="E83" s="45">
        <v>0.4</v>
      </c>
      <c r="F83" s="64">
        <f>B83*C83*D83*E83/1000</f>
        <v>26333.439552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14.25" customHeight="1" thickBot="1">
      <c r="A84" s="47" t="s">
        <v>48</v>
      </c>
      <c r="B84" s="38">
        <f>B56*12</f>
        <v>900</v>
      </c>
      <c r="C84" s="85">
        <f>E41</f>
        <v>10863.051</v>
      </c>
      <c r="D84" s="45">
        <v>9</v>
      </c>
      <c r="E84" s="45">
        <v>0.5</v>
      </c>
      <c r="F84" s="64">
        <f>B84*C84*D84*E84/1000</f>
        <v>43995.356550000004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ht="16.5" thickBot="1">
      <c r="A85" s="39" t="s">
        <v>15</v>
      </c>
      <c r="B85" s="38">
        <f>B82+B83+B84</f>
        <v>3480</v>
      </c>
      <c r="C85" s="38" t="s">
        <v>69</v>
      </c>
      <c r="D85" s="38" t="s">
        <v>69</v>
      </c>
      <c r="E85" s="81" t="s">
        <v>69</v>
      </c>
      <c r="F85" s="65">
        <f>F82+F83+F84</f>
        <v>154323.15226200002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>
        <f>B85/3</f>
        <v>1160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41.25" customHeight="1">
      <c r="A87" s="95" t="s">
        <v>115</v>
      </c>
      <c r="B87" s="95"/>
      <c r="C87" s="95"/>
      <c r="D87" s="95"/>
      <c r="E87" s="95"/>
      <c r="F87" s="95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95" t="s">
        <v>116</v>
      </c>
      <c r="B88" s="95"/>
      <c r="C88" s="95"/>
      <c r="D88" s="95"/>
      <c r="E88" s="95"/>
      <c r="F88" s="95"/>
      <c r="G88" s="1"/>
      <c r="H88" s="1"/>
      <c r="I88" s="1"/>
      <c r="J88" s="1"/>
      <c r="K88" s="1"/>
      <c r="L88" s="1"/>
      <c r="M88" s="1"/>
      <c r="N88" s="1"/>
      <c r="O88" s="1"/>
    </row>
    <row r="89" spans="1:15" ht="59.25">
      <c r="A89" s="86" t="s">
        <v>117</v>
      </c>
      <c r="B89" s="1"/>
      <c r="C89" s="1" t="s">
        <v>121</v>
      </c>
      <c r="D89" s="34">
        <f>(C41-C39)*B82/(C45-C39)</f>
        <v>55.2525324077354</v>
      </c>
      <c r="E89" s="1" t="s">
        <v>124</v>
      </c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57.75">
      <c r="A90" s="86" t="s">
        <v>118</v>
      </c>
      <c r="B90" s="1"/>
      <c r="C90" s="1" t="s">
        <v>122</v>
      </c>
      <c r="D90" s="34">
        <f>(D41-D39)*B83/(D45-D39)</f>
        <v>36.126655805057624</v>
      </c>
      <c r="E90" s="1" t="s">
        <v>124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37.5">
      <c r="A91" s="86" t="s">
        <v>119</v>
      </c>
      <c r="B91" s="1"/>
      <c r="C91" s="1" t="s">
        <v>123</v>
      </c>
      <c r="D91" s="34">
        <f>(E41-E39)*B84/(E45-E39)</f>
        <v>31.87646100446273</v>
      </c>
      <c r="E91" s="1" t="s">
        <v>124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57.75">
      <c r="A92" s="86" t="s">
        <v>120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95" t="s">
        <v>125</v>
      </c>
      <c r="B93" s="95"/>
      <c r="C93" s="95"/>
      <c r="D93" s="95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 t="s">
        <v>126</v>
      </c>
      <c r="B94" s="33">
        <f>D89*C45/1000</f>
        <v>1267.6534826946245</v>
      </c>
      <c r="C94" s="1" t="s">
        <v>127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 t="s">
        <v>122</v>
      </c>
      <c r="B95" s="33">
        <f>D90*D45/1000</f>
        <v>510.9783578153984</v>
      </c>
      <c r="C95" s="1" t="s">
        <v>127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 t="s">
        <v>123</v>
      </c>
      <c r="B96" s="33">
        <f>D91*E45/1000</f>
        <v>531.1868035205785</v>
      </c>
      <c r="C96" s="1" t="s">
        <v>127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95" t="s">
        <v>128</v>
      </c>
      <c r="B98" s="95"/>
      <c r="C98" s="95"/>
      <c r="D98" s="95"/>
      <c r="E98" s="95"/>
      <c r="F98" s="95"/>
      <c r="G98" s="1"/>
      <c r="H98" s="1"/>
      <c r="I98" s="1"/>
      <c r="J98" s="1"/>
      <c r="K98" s="1"/>
      <c r="L98" s="1"/>
      <c r="M98" s="1"/>
      <c r="N98" s="1"/>
      <c r="O98" s="1"/>
    </row>
    <row r="99" spans="1:15" ht="30" customHeight="1">
      <c r="A99" s="86" t="s">
        <v>129</v>
      </c>
      <c r="B99" s="1" t="s">
        <v>134</v>
      </c>
      <c r="C99" s="33">
        <f>C54*12-B94</f>
        <v>34523.27494770538</v>
      </c>
      <c r="D99" s="1" t="s">
        <v>127</v>
      </c>
      <c r="E99" s="33">
        <f>C99/(C54*12)*100</f>
        <v>96.45817099950415</v>
      </c>
      <c r="F99" s="1" t="s">
        <v>135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ht="57.75">
      <c r="A100" s="86" t="s">
        <v>130</v>
      </c>
      <c r="B100" s="1" t="s">
        <v>132</v>
      </c>
      <c r="C100" s="33">
        <f>C55*12-B95</f>
        <v>13915.9845967446</v>
      </c>
      <c r="D100" s="1" t="s">
        <v>127</v>
      </c>
      <c r="E100" s="33">
        <f>C100/(C55*12)*100</f>
        <v>96.45817099950416</v>
      </c>
      <c r="F100" s="1" t="s">
        <v>135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57.75">
      <c r="A101" s="86" t="s">
        <v>131</v>
      </c>
      <c r="B101" s="1" t="s">
        <v>133</v>
      </c>
      <c r="C101" s="33">
        <f>C56*12-B96</f>
        <v>14466.341407079422</v>
      </c>
      <c r="D101" s="1" t="s">
        <v>127</v>
      </c>
      <c r="E101" s="33">
        <f>C101/(C56*12)*100</f>
        <v>96.45817099950413</v>
      </c>
      <c r="F101" s="1" t="s">
        <v>135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59.25" customHeight="1">
      <c r="A102" s="95" t="s">
        <v>136</v>
      </c>
      <c r="B102" s="95"/>
      <c r="C102" s="95"/>
      <c r="D102" s="95"/>
      <c r="E102" s="95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27" customHeight="1">
      <c r="A104" s="95" t="s">
        <v>137</v>
      </c>
      <c r="B104" s="95"/>
      <c r="C104" s="95"/>
      <c r="D104" s="95"/>
      <c r="E104" s="95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 t="s">
        <v>140</v>
      </c>
      <c r="B105" s="33">
        <f>((C54*12*B82)-(C37*B82))/1000</f>
        <v>48455.048351424004</v>
      </c>
      <c r="C105" s="1" t="s">
        <v>141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 t="s">
        <v>138</v>
      </c>
      <c r="B106" s="33">
        <f>(B83*C55*12-D37*B83)/1000</f>
        <v>11741.182213651198</v>
      </c>
      <c r="C106" s="1" t="s">
        <v>141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 t="s">
        <v>139</v>
      </c>
      <c r="B107" s="33">
        <f>(B84*12*C56-E37*B84)/1000</f>
        <v>10405.82538954</v>
      </c>
      <c r="C107" s="1" t="s">
        <v>141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64.5" customHeight="1">
      <c r="A109" s="95" t="s">
        <v>142</v>
      </c>
      <c r="B109" s="95"/>
      <c r="C109" s="95"/>
      <c r="D109" s="95"/>
      <c r="E109" s="95"/>
      <c r="F109" s="95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 t="s">
        <v>145</v>
      </c>
      <c r="B110" s="33">
        <f>B105/(H54*B82/1000)</f>
        <v>0.8721311940111797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 t="s">
        <v>143</v>
      </c>
      <c r="B111" s="33">
        <f>B106/(H55*B83/1000)</f>
        <v>0.8039230924295137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 t="s">
        <v>144</v>
      </c>
      <c r="B112" s="33">
        <f>B107/(H56*B84/1000)</f>
        <v>0.7775548088962919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54.75" customHeight="1">
      <c r="A113" s="95" t="s">
        <v>160</v>
      </c>
      <c r="B113" s="95"/>
      <c r="C113" s="95"/>
      <c r="D113" s="95"/>
      <c r="E113" s="95"/>
      <c r="F113" s="95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3.5" thickBot="1">
      <c r="A114" s="117" t="s">
        <v>146</v>
      </c>
      <c r="B114" s="117"/>
      <c r="C114" s="117"/>
      <c r="D114" s="117"/>
      <c r="E114" s="117"/>
      <c r="F114" s="117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31.5">
      <c r="A115" s="131" t="s">
        <v>147</v>
      </c>
      <c r="B115" s="87" t="s">
        <v>148</v>
      </c>
      <c r="C115" s="134" t="s">
        <v>150</v>
      </c>
      <c r="D115" s="135"/>
      <c r="E115" s="87" t="s">
        <v>151</v>
      </c>
      <c r="F115" s="87" t="s">
        <v>153</v>
      </c>
      <c r="G115" s="87" t="s">
        <v>155</v>
      </c>
      <c r="H115" s="87" t="s">
        <v>158</v>
      </c>
      <c r="I115" s="1"/>
      <c r="J115" s="1"/>
      <c r="K115" s="1"/>
      <c r="L115" s="1"/>
      <c r="M115" s="1"/>
      <c r="N115" s="1"/>
      <c r="O115" s="1"/>
    </row>
    <row r="116" spans="1:15" ht="32.25" thickBot="1">
      <c r="A116" s="132"/>
      <c r="B116" s="88" t="s">
        <v>149</v>
      </c>
      <c r="C116" s="136"/>
      <c r="D116" s="137"/>
      <c r="E116" s="88" t="s">
        <v>152</v>
      </c>
      <c r="F116" s="88" t="s">
        <v>154</v>
      </c>
      <c r="G116" s="88" t="s">
        <v>156</v>
      </c>
      <c r="H116" s="88" t="s">
        <v>76</v>
      </c>
      <c r="I116" s="1"/>
      <c r="J116" s="1"/>
      <c r="K116" s="1"/>
      <c r="L116" s="1"/>
      <c r="M116" s="1"/>
      <c r="N116" s="1"/>
      <c r="O116" s="1"/>
    </row>
    <row r="117" spans="1:15" ht="16.5" thickBot="1">
      <c r="A117" s="133"/>
      <c r="B117" s="13"/>
      <c r="C117" s="30" t="s">
        <v>78</v>
      </c>
      <c r="D117" s="30" t="s">
        <v>159</v>
      </c>
      <c r="E117" s="13"/>
      <c r="F117" s="13"/>
      <c r="G117" s="30" t="s">
        <v>157</v>
      </c>
      <c r="H117" s="13"/>
      <c r="I117" s="1"/>
      <c r="J117" s="1"/>
      <c r="K117" s="1"/>
      <c r="L117" s="1"/>
      <c r="M117" s="1"/>
      <c r="N117" s="1"/>
      <c r="O117" s="1"/>
    </row>
    <row r="118" spans="1:15" ht="19.5" thickBot="1">
      <c r="A118" s="89" t="s">
        <v>46</v>
      </c>
      <c r="B118" s="91">
        <f>C41</f>
        <v>14956.26</v>
      </c>
      <c r="C118" s="91">
        <f>D89</f>
        <v>55.2525324077354</v>
      </c>
      <c r="D118" s="92">
        <f>B94</f>
        <v>1267.6534826946245</v>
      </c>
      <c r="E118" s="92">
        <f>C99</f>
        <v>34523.27494770538</v>
      </c>
      <c r="F118" s="92">
        <f>B105</f>
        <v>48455.048351424004</v>
      </c>
      <c r="G118" s="92">
        <f>B110</f>
        <v>0.8721311940111797</v>
      </c>
      <c r="H118" s="90">
        <v>972</v>
      </c>
      <c r="I118" s="1"/>
      <c r="J118" s="1"/>
      <c r="K118" s="1"/>
      <c r="L118" s="1"/>
      <c r="M118" s="1"/>
      <c r="N118" s="1"/>
      <c r="O118" s="1"/>
    </row>
    <row r="119" spans="1:15" ht="19.5" thickBot="1">
      <c r="A119" s="89" t="s">
        <v>47</v>
      </c>
      <c r="B119" s="91">
        <f>D41</f>
        <v>9220.392</v>
      </c>
      <c r="C119" s="91">
        <f>D90</f>
        <v>36.126655805057624</v>
      </c>
      <c r="D119" s="92">
        <f>B95</f>
        <v>510.9783578153984</v>
      </c>
      <c r="E119" s="92">
        <f>C100</f>
        <v>13915.9845967446</v>
      </c>
      <c r="F119" s="92">
        <f>B106</f>
        <v>11741.182213651198</v>
      </c>
      <c r="G119" s="92">
        <f>B111</f>
        <v>0.8039230924295137</v>
      </c>
      <c r="H119" s="90">
        <v>564</v>
      </c>
      <c r="I119" s="1"/>
      <c r="J119" s="1"/>
      <c r="K119" s="1"/>
      <c r="L119" s="1"/>
      <c r="M119" s="1"/>
      <c r="N119" s="1"/>
      <c r="O119" s="1"/>
    </row>
    <row r="120" spans="1:15" ht="19.5" thickBot="1">
      <c r="A120" s="89" t="s">
        <v>48</v>
      </c>
      <c r="B120" s="91">
        <f>E41</f>
        <v>10863.051</v>
      </c>
      <c r="C120" s="91">
        <f>D91</f>
        <v>31.87646100446273</v>
      </c>
      <c r="D120" s="92">
        <f>B96</f>
        <v>531.1868035205785</v>
      </c>
      <c r="E120" s="92">
        <f>C101</f>
        <v>14466.341407079422</v>
      </c>
      <c r="F120" s="92">
        <f>B107</f>
        <v>10405.82538954</v>
      </c>
      <c r="G120" s="92">
        <f>B112</f>
        <v>0.7775548088962919</v>
      </c>
      <c r="H120" s="90">
        <v>696</v>
      </c>
      <c r="I120" s="1"/>
      <c r="J120" s="1"/>
      <c r="K120" s="1"/>
      <c r="L120" s="1"/>
      <c r="M120" s="1"/>
      <c r="N120" s="1"/>
      <c r="O120" s="1"/>
    </row>
    <row r="121" spans="1:15" ht="69.75" customHeight="1">
      <c r="A121" s="96" t="s">
        <v>161</v>
      </c>
      <c r="B121" s="96"/>
      <c r="C121" s="96"/>
      <c r="D121" s="96"/>
      <c r="E121" s="96"/>
      <c r="F121" s="96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9.25" customHeight="1">
      <c r="A123" s="95" t="s">
        <v>162</v>
      </c>
      <c r="B123" s="95"/>
      <c r="C123" s="95"/>
      <c r="D123" s="95"/>
      <c r="E123" s="95"/>
      <c r="F123" s="95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95" t="s">
        <v>163</v>
      </c>
      <c r="B124" s="95"/>
      <c r="C124" s="95"/>
      <c r="D124" s="95"/>
      <c r="E124" s="95"/>
      <c r="F124" s="95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95" t="s">
        <v>164</v>
      </c>
      <c r="B125" s="95"/>
      <c r="C125" s="95"/>
      <c r="D125" s="95"/>
      <c r="E125" s="95"/>
      <c r="F125" s="95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94" t="s">
        <v>165</v>
      </c>
      <c r="B126" s="34">
        <f>(F41-F39)*(B85/3)/(F45-F39)*12</f>
        <v>493.02259686902687</v>
      </c>
      <c r="C126" s="1" t="s">
        <v>124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95" t="s">
        <v>166</v>
      </c>
      <c r="B127" s="95"/>
      <c r="C127" s="95"/>
      <c r="D127" s="95"/>
      <c r="E127" s="95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 t="s">
        <v>167</v>
      </c>
      <c r="B128" s="33">
        <f>B126*F45/1000</f>
        <v>8833.47015744428</v>
      </c>
      <c r="C128" s="1" t="s">
        <v>79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95" t="s">
        <v>168</v>
      </c>
      <c r="B129" s="95"/>
      <c r="C129" s="95"/>
      <c r="D129" s="95"/>
      <c r="E129" s="95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94" t="s">
        <v>169</v>
      </c>
      <c r="B130" s="34">
        <f>(C57/3*12-B128)/1000</f>
        <v>12.905003041075721</v>
      </c>
      <c r="C130" s="1" t="s">
        <v>76</v>
      </c>
      <c r="D130" s="33">
        <f>B130/(12*(C57/3))*100</f>
        <v>0.05936480875738007</v>
      </c>
      <c r="E130" s="1" t="s">
        <v>135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95" t="s">
        <v>170</v>
      </c>
      <c r="B131" s="95"/>
      <c r="C131" s="95"/>
      <c r="D131" s="95"/>
      <c r="E131" s="95"/>
      <c r="F131" s="95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94" t="s">
        <v>171</v>
      </c>
      <c r="B132" s="33">
        <f>((C57*4-F37)*B85/3)/1000</f>
        <v>20931.782243616537</v>
      </c>
      <c r="C132" s="1" t="s">
        <v>76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95" t="s">
        <v>172</v>
      </c>
      <c r="B133" s="95"/>
      <c r="C133" s="95"/>
      <c r="D133" s="95"/>
      <c r="E133" s="95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94" t="s">
        <v>173</v>
      </c>
      <c r="B134" s="33">
        <f>(B132/((H57/3)*(B85/3)))*1000</f>
        <v>0.8353588987989414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72.75" customHeight="1">
      <c r="A136" s="95" t="s">
        <v>174</v>
      </c>
      <c r="B136" s="95"/>
      <c r="C136" s="95"/>
      <c r="D136" s="95"/>
      <c r="E136" s="95"/>
      <c r="F136" s="95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1:15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1:15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1:15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1:15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  <row r="1273" spans="1:15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</row>
    <row r="1274" spans="1:15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</row>
    <row r="1275" spans="1:15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</row>
    <row r="1276" spans="1:15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</row>
    <row r="1277" spans="1:15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</row>
    <row r="1278" spans="1:15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1:15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  <row r="1280" spans="1:15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</row>
    <row r="1281" spans="1:15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</row>
    <row r="1282" spans="1:15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</row>
    <row r="1283" spans="1:15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</row>
    <row r="1284" spans="1:15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</row>
    <row r="1285" spans="1:15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</row>
    <row r="1286" spans="1:15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</row>
    <row r="1287" spans="1:15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</row>
    <row r="1288" spans="1:15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</row>
    <row r="1289" spans="1:15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</row>
    <row r="1290" spans="1:15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</row>
    <row r="1291" spans="1:15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</row>
    <row r="1292" spans="1:15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</row>
    <row r="1293" spans="1:15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</row>
    <row r="1294" spans="1:15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</row>
    <row r="1295" spans="1:15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</row>
    <row r="1296" spans="1:15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</row>
    <row r="1297" spans="1:15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</row>
    <row r="1298" spans="1:15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</row>
    <row r="1299" spans="1:15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</row>
    <row r="1300" spans="1:15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</row>
    <row r="1301" spans="1:15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</row>
    <row r="1302" spans="1:15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</row>
    <row r="1303" spans="1:15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</row>
    <row r="1304" spans="1:15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</row>
    <row r="1305" spans="1:15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  <row r="1320" spans="1:15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</row>
    <row r="1321" spans="1:15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</row>
    <row r="1322" spans="1:15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</row>
    <row r="1323" spans="1:15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</row>
    <row r="1324" spans="1:15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</row>
    <row r="1325" spans="1:15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</row>
    <row r="1326" spans="1:15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</row>
    <row r="1327" spans="1:15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</row>
    <row r="1328" spans="1:15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</row>
    <row r="1329" spans="1:15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</row>
    <row r="1330" spans="1:15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</row>
    <row r="1331" spans="1:15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</row>
    <row r="1332" spans="1:15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</row>
    <row r="1333" spans="1:15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</row>
    <row r="1334" spans="1:15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</row>
    <row r="1335" spans="1:15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</row>
    <row r="1336" spans="1:15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</row>
    <row r="1337" spans="1:15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</row>
    <row r="1338" spans="1:15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</row>
    <row r="1339" spans="1:15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</row>
    <row r="1340" spans="1:15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</row>
    <row r="1341" spans="1:15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</row>
    <row r="1342" spans="1:15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</row>
    <row r="1343" spans="1:15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</row>
    <row r="1344" spans="1:15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</row>
    <row r="1345" spans="1:15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</row>
    <row r="1346" spans="1:15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</row>
    <row r="1347" spans="1:15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</row>
    <row r="1348" spans="1:15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</row>
    <row r="1349" spans="1:15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</row>
    <row r="1350" spans="1:15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</row>
    <row r="1351" spans="1:15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</row>
    <row r="1352" spans="1:15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</row>
    <row r="1353" spans="1:15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</row>
    <row r="1354" spans="1:15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</row>
    <row r="1355" spans="1:15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</row>
    <row r="1356" spans="1:15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</row>
    <row r="1357" spans="1:15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</row>
    <row r="1358" spans="1:15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</row>
    <row r="1359" spans="1:15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</row>
    <row r="1360" spans="1:15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</row>
    <row r="1361" spans="1:15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</row>
    <row r="1362" spans="1:15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</row>
    <row r="1363" spans="1:15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</row>
    <row r="1364" spans="1:15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</row>
    <row r="1365" spans="1:15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</row>
    <row r="1366" spans="1:15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</row>
    <row r="1367" spans="1:15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</row>
    <row r="1368" spans="1:15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</row>
    <row r="1369" spans="1:15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</row>
    <row r="1370" spans="1:15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</row>
    <row r="1371" spans="1:15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</row>
    <row r="1372" spans="1:15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</row>
    <row r="1373" spans="1:15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</row>
    <row r="1374" spans="1:15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</row>
    <row r="1375" spans="1:15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</row>
    <row r="1376" spans="1:15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</row>
    <row r="1377" spans="1:15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</row>
    <row r="1378" spans="1:15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</row>
    <row r="1379" spans="1:15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</row>
    <row r="1380" spans="1:15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</row>
    <row r="1381" spans="1:15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</row>
    <row r="1382" spans="1:15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</row>
    <row r="1383" spans="1:15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</row>
    <row r="1384" spans="1:15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</row>
    <row r="1385" spans="1:15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</row>
    <row r="1386" spans="1:15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</row>
    <row r="1387" spans="1:15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</row>
    <row r="1388" spans="1:15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</row>
    <row r="1389" spans="1:15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</row>
    <row r="1390" spans="1:15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</row>
    <row r="1391" spans="1:15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</row>
    <row r="1392" spans="1:15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</row>
    <row r="1393" spans="1:15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</row>
    <row r="1394" spans="1:15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</row>
    <row r="1395" spans="1:15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</row>
    <row r="1396" spans="1:15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</row>
    <row r="1397" spans="1:15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</row>
    <row r="1398" spans="1:15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</row>
    <row r="1399" spans="1:15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</row>
    <row r="1400" spans="1:15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</row>
    <row r="1401" spans="1:15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</row>
    <row r="1402" spans="1:15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</row>
    <row r="1403" spans="1:15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</row>
    <row r="1404" spans="1:15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</row>
    <row r="1405" spans="1:15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</row>
    <row r="1406" spans="1:15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</row>
    <row r="1407" spans="1:15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</row>
    <row r="1408" spans="1:15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</row>
    <row r="1409" spans="1:15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</row>
    <row r="1410" spans="1:15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</row>
    <row r="1411" spans="1:15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</row>
    <row r="1412" spans="1:15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</row>
    <row r="1413" spans="1:15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</row>
    <row r="1414" spans="1:15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</row>
    <row r="1415" spans="1:15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</row>
    <row r="1416" spans="1:15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</row>
    <row r="1417" spans="1:15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</row>
    <row r="1418" spans="1:15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</row>
    <row r="1419" spans="1:15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</row>
    <row r="1420" spans="1:15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</row>
    <row r="1421" spans="1:15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</row>
    <row r="1422" spans="1:15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</row>
    <row r="1423" spans="1:15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</row>
    <row r="1424" spans="1:15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</row>
    <row r="1425" spans="1:15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</row>
    <row r="1426" spans="1:15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</row>
    <row r="1427" spans="1:15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</row>
    <row r="1428" spans="1:15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</row>
    <row r="1429" spans="1:15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</row>
    <row r="1430" spans="1:15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</row>
    <row r="1431" spans="1:15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</row>
    <row r="1432" spans="1:15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</row>
    <row r="1433" spans="1:15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</row>
    <row r="1434" spans="1:15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</row>
    <row r="1435" spans="1:15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</row>
    <row r="1436" spans="1:15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</row>
    <row r="1437" spans="1:15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</row>
    <row r="1438" spans="1:15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</row>
    <row r="1439" spans="1:15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</row>
    <row r="1440" spans="1:15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</row>
    <row r="1441" spans="1:15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</row>
    <row r="1442" spans="1:15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</row>
    <row r="1443" spans="1:15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</row>
    <row r="1444" spans="1:15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</row>
    <row r="1445" spans="1:15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</row>
    <row r="1446" spans="1:15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</row>
    <row r="1447" spans="1:15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</row>
    <row r="1448" spans="1:15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</row>
    <row r="1449" spans="1:15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</row>
    <row r="1450" spans="1:15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</row>
    <row r="1451" spans="1:15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</row>
    <row r="1452" spans="1:15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</row>
    <row r="1453" spans="1:15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</row>
    <row r="1454" spans="1:15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</row>
    <row r="1455" spans="1:15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</row>
    <row r="1456" spans="1:15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</row>
    <row r="1457" spans="1:15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</row>
    <row r="1458" spans="1:15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</row>
    <row r="1459" spans="1:15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</row>
    <row r="1460" spans="1:15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</row>
    <row r="1461" spans="1:15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</row>
    <row r="1462" spans="1:15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</row>
    <row r="1463" spans="1:15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</row>
    <row r="1464" spans="1:15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</row>
    <row r="1465" spans="1:15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</row>
    <row r="1466" spans="1:15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</row>
    <row r="1467" spans="1:15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</row>
    <row r="1468" spans="1:15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</row>
    <row r="1469" spans="1:15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</row>
    <row r="1470" spans="1:15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</row>
    <row r="1471" spans="1:15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</row>
    <row r="1472" spans="1:15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</row>
    <row r="1473" spans="1:15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</row>
    <row r="1474" spans="1:15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</row>
    <row r="1475" spans="1:15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</row>
    <row r="1476" spans="1:15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</row>
    <row r="1477" spans="1:15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</row>
    <row r="1478" spans="1:15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</row>
    <row r="1479" spans="1:15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</row>
    <row r="1480" spans="1:15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</row>
    <row r="1481" spans="1:15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</row>
    <row r="1482" spans="1:15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</row>
    <row r="1483" spans="1:15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</row>
    <row r="1484" spans="1:15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</row>
    <row r="1485" spans="1:15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</row>
    <row r="1486" spans="1:15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</row>
    <row r="1487" spans="1:15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</row>
    <row r="1488" spans="1:15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</row>
    <row r="1489" spans="1:15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</row>
    <row r="1490" spans="1:15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</row>
    <row r="1491" spans="1:15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</row>
    <row r="1492" spans="1:15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</row>
    <row r="1493" spans="1:15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</row>
    <row r="1494" spans="1:15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</row>
    <row r="1495" spans="1:15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</row>
    <row r="1496" spans="1:15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</row>
    <row r="1497" spans="1:15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</row>
    <row r="1498" spans="1:15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</row>
    <row r="1499" spans="1:15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</row>
    <row r="1500" spans="1:15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</row>
    <row r="1501" spans="1:15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</row>
    <row r="1502" spans="1:15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</row>
    <row r="1503" spans="1:15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</row>
    <row r="1504" spans="1:15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</row>
    <row r="1505" spans="1:15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</row>
    <row r="1506" spans="1:15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</row>
    <row r="1507" spans="1:15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</row>
    <row r="1508" spans="1:15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</row>
    <row r="1509" spans="1:15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</row>
    <row r="1510" spans="1:15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</row>
    <row r="1511" spans="1:15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</row>
    <row r="1512" spans="1:15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</row>
    <row r="1513" spans="1:15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</row>
    <row r="1514" spans="1:15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</row>
    <row r="1515" spans="1:15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</row>
    <row r="1516" spans="1:15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</row>
    <row r="1517" spans="1:15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</row>
    <row r="1518" spans="1:15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</row>
    <row r="1519" spans="1:15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</row>
    <row r="1520" spans="1:15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</row>
    <row r="1521" spans="1:15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</row>
    <row r="1522" spans="1:15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</row>
    <row r="1523" spans="1:15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</row>
    <row r="1524" spans="1:15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</row>
    <row r="1525" spans="1:15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</row>
    <row r="1526" spans="1:15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</row>
    <row r="1527" spans="4:15" ht="12.75"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</row>
    <row r="1528" spans="7:15" ht="12.75">
      <c r="G1528" s="1"/>
      <c r="H1528" s="1"/>
      <c r="I1528" s="1"/>
      <c r="J1528" s="1"/>
      <c r="K1528" s="1"/>
      <c r="L1528" s="1"/>
      <c r="M1528" s="1"/>
      <c r="N1528" s="1"/>
      <c r="O1528" s="1"/>
    </row>
    <row r="1529" spans="7:15" ht="12.75">
      <c r="G1529" s="1"/>
      <c r="H1529" s="1"/>
      <c r="I1529" s="1"/>
      <c r="J1529" s="1"/>
      <c r="K1529" s="1"/>
      <c r="L1529" s="1"/>
      <c r="M1529" s="1"/>
      <c r="N1529" s="1"/>
      <c r="O1529" s="1"/>
    </row>
    <row r="1530" spans="7:15" ht="12.75">
      <c r="G1530" s="1"/>
      <c r="H1530" s="1"/>
      <c r="I1530" s="1"/>
      <c r="J1530" s="1"/>
      <c r="K1530" s="1"/>
      <c r="L1530" s="1"/>
      <c r="M1530" s="1"/>
      <c r="N1530" s="1"/>
      <c r="O1530" s="1"/>
    </row>
  </sheetData>
  <sheetProtection/>
  <mergeCells count="49">
    <mergeCell ref="A102:E102"/>
    <mergeCell ref="A104:E104"/>
    <mergeCell ref="A109:F109"/>
    <mergeCell ref="A113:F113"/>
    <mergeCell ref="A114:F114"/>
    <mergeCell ref="A115:A117"/>
    <mergeCell ref="C115:D116"/>
    <mergeCell ref="A78:F78"/>
    <mergeCell ref="A80:F80"/>
    <mergeCell ref="A87:F87"/>
    <mergeCell ref="A88:F88"/>
    <mergeCell ref="A93:D93"/>
    <mergeCell ref="A98:F98"/>
    <mergeCell ref="A5:A6"/>
    <mergeCell ref="A29:A31"/>
    <mergeCell ref="B29:B31"/>
    <mergeCell ref="C29:E30"/>
    <mergeCell ref="A16:H16"/>
    <mergeCell ref="A1:N1"/>
    <mergeCell ref="A2:N2"/>
    <mergeCell ref="A3:N3"/>
    <mergeCell ref="A4:N4"/>
    <mergeCell ref="A46:H46"/>
    <mergeCell ref="A47:H47"/>
    <mergeCell ref="A59:G59"/>
    <mergeCell ref="A17:H17"/>
    <mergeCell ref="F18:J18"/>
    <mergeCell ref="A27:H27"/>
    <mergeCell ref="A28:H28"/>
    <mergeCell ref="I48:J48"/>
    <mergeCell ref="I49:J49"/>
    <mergeCell ref="I50:J50"/>
    <mergeCell ref="A63:G63"/>
    <mergeCell ref="A64:D64"/>
    <mergeCell ref="A65:A66"/>
    <mergeCell ref="B65:C65"/>
    <mergeCell ref="A48:A52"/>
    <mergeCell ref="B48:C49"/>
    <mergeCell ref="D48:F49"/>
    <mergeCell ref="B50:B52"/>
    <mergeCell ref="A136:F136"/>
    <mergeCell ref="A127:E127"/>
    <mergeCell ref="A129:E129"/>
    <mergeCell ref="A131:F131"/>
    <mergeCell ref="A133:E133"/>
    <mergeCell ref="A121:F121"/>
    <mergeCell ref="A123:F123"/>
    <mergeCell ref="A124:F124"/>
    <mergeCell ref="A125:F125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Bill</cp:lastModifiedBy>
  <dcterms:created xsi:type="dcterms:W3CDTF">1996-10-08T23:32:33Z</dcterms:created>
  <dcterms:modified xsi:type="dcterms:W3CDTF">2012-01-25T13:25:32Z</dcterms:modified>
  <cp:category/>
  <cp:version/>
  <cp:contentType/>
  <cp:contentStatus/>
</cp:coreProperties>
</file>