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35" tabRatio="795" activeTab="0"/>
  </bookViews>
  <sheets>
    <sheet name="Анализ элем.потоков" sheetId="1" r:id="rId1"/>
    <sheet name="Анализ элем.потоков (2)" sheetId="2" r:id="rId2"/>
    <sheet name="План пог.кредита" sheetId="3" r:id="rId3"/>
    <sheet name="NPV" sheetId="4" r:id="rId4"/>
    <sheet name="PI" sheetId="5" r:id="rId5"/>
    <sheet name="IRR" sheetId="6" r:id="rId6"/>
    <sheet name="MIRR" sheetId="7" r:id="rId7"/>
    <sheet name="Множ.знач.IRR" sheetId="8" r:id="rId8"/>
    <sheet name="Эффективность" sheetId="9" r:id="rId9"/>
    <sheet name="Анализ пред.безоп." sheetId="10" r:id="rId10"/>
    <sheet name="Лист1" sheetId="11" r:id="rId11"/>
    <sheet name="Лизинг" sheetId="12" r:id="rId12"/>
    <sheet name="Анализ рисков" sheetId="13" r:id="rId13"/>
  </sheets>
  <definedNames>
    <definedName name="solver_lhs3" localSheetId="0" hidden="1">'Анализ элем.потоков'!$N$40</definedName>
    <definedName name="solver_num" localSheetId="0" hidden="1">3</definedName>
    <definedName name="solver_rel3" localSheetId="0" hidden="1">3</definedName>
    <definedName name="solver_rhs3" localSheetId="0" hidden="1">10</definedName>
    <definedName name="Аванс" localSheetId="12">'Анализ рисков'!$D$7</definedName>
    <definedName name="Аванс" localSheetId="11">'Лизинг'!#REF!</definedName>
    <definedName name="Аванс">#REF!</definedName>
    <definedName name="Аванс_ар">#REF!</definedName>
    <definedName name="Аморт">#REF!</definedName>
    <definedName name="Ар_плата">#REF!</definedName>
    <definedName name="Аренда">#REF!</definedName>
    <definedName name="Выплат">'План пог.кредита'!$C$8</definedName>
    <definedName name="Даты" localSheetId="9">'Анализ пред.безоп.'!$A$13:$A$18</definedName>
    <definedName name="Даты">'Эффективность'!$A$12:$A$17</definedName>
    <definedName name="Инвест" localSheetId="9">'Анализ пред.безоп.'!$B$13</definedName>
    <definedName name="Инвест">'Эффективность'!$B$12</definedName>
    <definedName name="Кол_плат">#REF!</definedName>
    <definedName name="Кол_плата">'Лизинг'!$D$8</definedName>
    <definedName name="Количество">#REF!</definedName>
    <definedName name="Кредит" localSheetId="11">'Лизинг'!#REF!</definedName>
    <definedName name="Кредит">#REF!</definedName>
    <definedName name="Ликвид" localSheetId="11">'Лизинг'!#REF!</definedName>
    <definedName name="Ликвид">#REF!</definedName>
    <definedName name="Ликвид_стоим">'Лизинг'!$F$8</definedName>
    <definedName name="Мин_платеж">'Лизинг'!$F$6</definedName>
    <definedName name="Налог" localSheetId="12">'Анализ рисков'!$B$9</definedName>
    <definedName name="Налог" localSheetId="11">'Лизинг'!$B$7</definedName>
    <definedName name="Налог">#REF!</definedName>
    <definedName name="Налог_ар">#REF!</definedName>
    <definedName name="Налог_щит">'Лизинг'!$D$14:$D$18</definedName>
    <definedName name="Нач_инвест">#REF!</definedName>
    <definedName name="Норма" localSheetId="11">'Лизинг'!$D$7</definedName>
    <definedName name="Норма">#REF!</definedName>
    <definedName name="Норма_ар">#REF!</definedName>
    <definedName name="Норма_диск">#REF!</definedName>
    <definedName name="Норма_дисконта" localSheetId="9">'Анализ пред.безоп.'!$B$7</definedName>
    <definedName name="Норма_дисконта">'Эффективность'!$B$7</definedName>
    <definedName name="Ост_стоим" localSheetId="11">'Лизинг'!#REF!</definedName>
    <definedName name="Ост_стоим">#REF!</definedName>
    <definedName name="Остат_стоим">'Лизинг'!$B$9</definedName>
    <definedName name="ОстСтоим">#REF!</definedName>
    <definedName name="Отклонение">'Анализ рисков'!$B$15</definedName>
    <definedName name="Ошибка">'Анализ пред.безоп.'!$B$10</definedName>
    <definedName name="Перем_расх">#REF!</definedName>
    <definedName name="Период_ар">#REF!</definedName>
    <definedName name="Периодов" localSheetId="11">'Лизинг'!$A$18</definedName>
    <definedName name="Периодов">#REF!</definedName>
    <definedName name="Платеж" localSheetId="11">'Лизинг'!$D$10</definedName>
    <definedName name="Платеж">#REF!</definedName>
    <definedName name="Платежи" localSheetId="9">'Анализ пред.безоп.'!$B$13:$B$18</definedName>
    <definedName name="Платежи">'Эффективность'!$B$12:$B$17</definedName>
    <definedName name="Покупка" localSheetId="11">'Лизинг'!#REF!</definedName>
    <definedName name="Покупка">#REF!</definedName>
    <definedName name="Пост_расх">#REF!</definedName>
    <definedName name="СВ_Аренда">#REF!</definedName>
    <definedName name="СВ_Налог">'Лизинг'!$E$23</definedName>
    <definedName name="СВ_Покупка" localSheetId="11">'Лизинг'!#REF!</definedName>
    <definedName name="СВ_Покупка">#REF!</definedName>
    <definedName name="Среднее">'Анализ рисков'!$B$14</definedName>
    <definedName name="Срок" localSheetId="12">'Анализ рисков'!$B$8</definedName>
    <definedName name="Срок" localSheetId="11">'Лизинг'!$B$10</definedName>
    <definedName name="Срок">'План пог.кредита'!$B$8</definedName>
    <definedName name="Срок_ар">#REF!</definedName>
    <definedName name="Срок_реал">#REF!</definedName>
    <definedName name="Срок1">'План пог.кредита'!$B$8</definedName>
    <definedName name="Ставка" localSheetId="12">'Анализ рисков'!$D$8</definedName>
    <definedName name="Ставка" localSheetId="11">'Лизинг'!#REF!</definedName>
    <definedName name="Ставка">'План пог.кредита'!$D$8</definedName>
    <definedName name="Ставка_реинвест" localSheetId="9">'Анализ пред.безоп.'!$B$9</definedName>
    <definedName name="Ставка_реинвест">'Эффективность'!$B$9</definedName>
    <definedName name="Ставка1">'План пог.кредита'!$D$8</definedName>
    <definedName name="Стоим_ар">#REF!</definedName>
    <definedName name="Стоимость" localSheetId="12">'Анализ рисков'!$B$7</definedName>
    <definedName name="Стоимость" localSheetId="11">'Лизинг'!$B$8</definedName>
    <definedName name="Стоимость">#REF!</definedName>
    <definedName name="Сумма">'План пог.кредита'!$A$8</definedName>
    <definedName name="Тип" localSheetId="11">'Лизинг'!$D$9</definedName>
    <definedName name="Тип">'План пог.кредита'!$E$8</definedName>
    <definedName name="Тип_плат">#REF!</definedName>
    <definedName name="Тип1">'План пог.кредита'!$E$8</definedName>
    <definedName name="Цена">#REF!</definedName>
    <definedName name="Число_плат" localSheetId="12">'Анализ рисков'!$D$9</definedName>
    <definedName name="Число_плат" localSheetId="11">'Лизинг'!#REF!</definedName>
    <definedName name="Число_плат">#REF!</definedName>
    <definedName name="Чист_плат">'Лизинг'!$E$14:$E$18</definedName>
    <definedName name="ЧСС" localSheetId="9">'Анализ пред.безоп.'!$B$21</definedName>
    <definedName name="ЧСС">'Эффективность'!$B$15</definedName>
  </definedNames>
  <calcPr fullCalcOnLoad="1"/>
</workbook>
</file>

<file path=xl/sharedStrings.xml><?xml version="1.0" encoding="utf-8"?>
<sst xmlns="http://schemas.openxmlformats.org/spreadsheetml/2006/main" count="208" uniqueCount="132">
  <si>
    <t>Лукасевич И.Я.</t>
  </si>
  <si>
    <t>Анализ финансовых операций</t>
  </si>
  <si>
    <t>Стр.31</t>
  </si>
  <si>
    <t>Финансовые операции с элементарными потоками платежей</t>
  </si>
  <si>
    <t>Анализ операций с элементарными потоками</t>
  </si>
  <si>
    <t>Исходные данные :</t>
  </si>
  <si>
    <t>Годовая процентная ставка    r =</t>
  </si>
  <si>
    <t>Количество начислений в году m =</t>
  </si>
  <si>
    <t>Срок проведения операции (лет)  n =</t>
  </si>
  <si>
    <t>Начальное значение PV =</t>
  </si>
  <si>
    <t>Будущее значение FV =</t>
  </si>
  <si>
    <t>Результаты вычислений :</t>
  </si>
  <si>
    <t>Будущая величина FV =</t>
  </si>
  <si>
    <t>Периодическая процентная ставка    r =</t>
  </si>
  <si>
    <t>Годовая процентная ставка  r =</t>
  </si>
  <si>
    <t>Общее число периодов проведения  mn =</t>
  </si>
  <si>
    <t>Современная величина PV =</t>
  </si>
  <si>
    <t>Стр.32</t>
  </si>
  <si>
    <t>Анализ операций с элементарными потоками (анализ двух альтернатив)</t>
  </si>
  <si>
    <t>стр.51</t>
  </si>
  <si>
    <t>Разработки планов погашения кредитов</t>
  </si>
  <si>
    <t>План погашения кредита</t>
  </si>
  <si>
    <t>Исходные даные:</t>
  </si>
  <si>
    <t>Сумма кредита (PV)</t>
  </si>
  <si>
    <t>Срок погашения (n)</t>
  </si>
  <si>
    <t>Процентная ставка ( r )</t>
  </si>
  <si>
    <t>Тип начисления (0 или 1)</t>
  </si>
  <si>
    <t>Величина платежа (CF) =</t>
  </si>
  <si>
    <t>Общее число выплат (mn) =</t>
  </si>
  <si>
    <t>Номер периода</t>
  </si>
  <si>
    <t>Баланс на конец</t>
  </si>
  <si>
    <t>Основной долг</t>
  </si>
  <si>
    <t>Проценты</t>
  </si>
  <si>
    <t>Накопленный долг</t>
  </si>
  <si>
    <t>Накопленный процент</t>
  </si>
  <si>
    <t>стр.66</t>
  </si>
  <si>
    <t>Расчет NPV</t>
  </si>
  <si>
    <t>Ставка r  =</t>
  </si>
  <si>
    <t>Дата платежа</t>
  </si>
  <si>
    <t>Сумма</t>
  </si>
  <si>
    <t>NPV =</t>
  </si>
  <si>
    <t>NPV (точное) =</t>
  </si>
  <si>
    <t>стр.72</t>
  </si>
  <si>
    <t>Индекс рентабельности проекта (PI)</t>
  </si>
  <si>
    <t>Расчет PI</t>
  </si>
  <si>
    <t>PI =</t>
  </si>
  <si>
    <t>стр.77</t>
  </si>
  <si>
    <t>Внутренняя норма доходности (IRR)</t>
  </si>
  <si>
    <t>Расчет IRR</t>
  </si>
  <si>
    <t>IRR =</t>
  </si>
  <si>
    <t>IRR (точное) =</t>
  </si>
  <si>
    <t>Внутренняя норма доходности (MIRR)</t>
  </si>
  <si>
    <t>Расчет MIRR</t>
  </si>
  <si>
    <t>MIRR =</t>
  </si>
  <si>
    <t>Множественные значения IRR</t>
  </si>
  <si>
    <t>r =</t>
  </si>
  <si>
    <t>Период</t>
  </si>
  <si>
    <t>NPV=</t>
  </si>
  <si>
    <t>IRR=</t>
  </si>
  <si>
    <t>Анализ эффективности инвестиций</t>
  </si>
  <si>
    <t>Ставка дисконта r  =</t>
  </si>
  <si>
    <t>Срок реализации n =</t>
  </si>
  <si>
    <t>Ставка реинвест. r1 =</t>
  </si>
  <si>
    <t>стр.89</t>
  </si>
  <si>
    <t>Анализ предела безопасности для оценки потока платежей</t>
  </si>
  <si>
    <t>Анализ предела безопасности</t>
  </si>
  <si>
    <t>Ошибка (%) =</t>
  </si>
  <si>
    <t>Мин.сумма</t>
  </si>
  <si>
    <t>NPV (точное)=</t>
  </si>
  <si>
    <t>стр.95</t>
  </si>
  <si>
    <t>Оптимизация портфеля инвестиций при ограниченном бюджете</t>
  </si>
  <si>
    <t>Отбор проектов в условиях ограниченного бюджета</t>
  </si>
  <si>
    <t>Список проектов (k = 1;6)</t>
  </si>
  <si>
    <t>Коэф-ты целевой функции NPVk</t>
  </si>
  <si>
    <t>Коэф-ты функции ограничений lk</t>
  </si>
  <si>
    <t>Целевая функция NPVk*Xk</t>
  </si>
  <si>
    <t>Функция ограничений lk*Xk</t>
  </si>
  <si>
    <t>Переменные целевой функции Xk</t>
  </si>
  <si>
    <t>Проект "А" (Х1)</t>
  </si>
  <si>
    <t>Проект "B" (Х2)</t>
  </si>
  <si>
    <t>Проект "C" (Х3)</t>
  </si>
  <si>
    <t>Проект "D" (Х4)</t>
  </si>
  <si>
    <t>Проект "E" (Х5)</t>
  </si>
  <si>
    <t>Проект "F" (Х6)</t>
  </si>
  <si>
    <t>max NPV =</t>
  </si>
  <si>
    <t>Бюджет =</t>
  </si>
  <si>
    <t>Анализ лизинговых операций</t>
  </si>
  <si>
    <t>Исходные данные</t>
  </si>
  <si>
    <t>Остат.стоим.</t>
  </si>
  <si>
    <t>Число плат.</t>
  </si>
  <si>
    <t>Налог</t>
  </si>
  <si>
    <t>Тип платежа</t>
  </si>
  <si>
    <t>Норма диск-та</t>
  </si>
  <si>
    <t>Период (t)</t>
  </si>
  <si>
    <t>Налоговый щит (аморт.)</t>
  </si>
  <si>
    <t>стр.129</t>
  </si>
  <si>
    <t>Лизинг</t>
  </si>
  <si>
    <t>Условия аренды</t>
  </si>
  <si>
    <t>Безубыточная арендная плата =</t>
  </si>
  <si>
    <t>Стоимость</t>
  </si>
  <si>
    <t>Чистая ликвид. стоим. =</t>
  </si>
  <si>
    <t>Срок</t>
  </si>
  <si>
    <t>Арендная плата</t>
  </si>
  <si>
    <t>Арендная плата  (Rt)</t>
  </si>
  <si>
    <t>Налог (Т)</t>
  </si>
  <si>
    <t xml:space="preserve">Чистые платежи </t>
  </si>
  <si>
    <t>NPV  =</t>
  </si>
  <si>
    <t>PV =</t>
  </si>
  <si>
    <t>стр.168</t>
  </si>
  <si>
    <t>Природа риска и показатели его измерения</t>
  </si>
  <si>
    <t>Анализ рисков</t>
  </si>
  <si>
    <t>Прогноз (событие)</t>
  </si>
  <si>
    <t>Вероятность</t>
  </si>
  <si>
    <t>Доходность</t>
  </si>
  <si>
    <t>Взвешенные квадраты отклонений</t>
  </si>
  <si>
    <t>Событие 1</t>
  </si>
  <si>
    <t>Событие 2</t>
  </si>
  <si>
    <t>Событие 3</t>
  </si>
  <si>
    <t>Событие 4</t>
  </si>
  <si>
    <t>Событие 5</t>
  </si>
  <si>
    <t>Ожидаемая доходность (R)</t>
  </si>
  <si>
    <t>Стандартное отклонение</t>
  </si>
  <si>
    <t>Коэффициент вариации (CV)</t>
  </si>
  <si>
    <t>Интервал ставки (r1;r2)</t>
  </si>
  <si>
    <t>Вероятность (r1&lt;=R&lt;=r2)</t>
  </si>
  <si>
    <t>r1</t>
  </si>
  <si>
    <t>r2</t>
  </si>
  <si>
    <t>Число выплат в году (m)</t>
  </si>
  <si>
    <t>стр.79</t>
  </si>
  <si>
    <t>стр.80</t>
  </si>
  <si>
    <t>стр.84</t>
  </si>
  <si>
    <t>Метод чистой современной стоимости NPV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</si>
</sst>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[Red]\-#,##0.00\ 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_-* #,##0.0_р_._-;\-* #,##0.0_р_._-;_-* &quot;-&quot;??_р_._-;_-@_-"/>
    <numFmt numFmtId="175" formatCode="_-* #,##0_р_._-;\-* #,##0_р_._-;_-* &quot;-&quot;??_р_._-;_-@_-"/>
    <numFmt numFmtId="176" formatCode="0.0000000000"/>
    <numFmt numFmtId="177" formatCode="0.000000000"/>
  </numFmts>
  <fonts count="9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2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/>
    </xf>
    <xf numFmtId="9" fontId="6" fillId="2" borderId="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9" fontId="6" fillId="2" borderId="0" xfId="17" applyFont="1" applyFill="1" applyAlignment="1">
      <alignment/>
    </xf>
    <xf numFmtId="173" fontId="6" fillId="0" borderId="0" xfId="0" applyNumberFormat="1" applyFont="1" applyAlignment="1">
      <alignment/>
    </xf>
    <xf numFmtId="9" fontId="6" fillId="0" borderId="0" xfId="17" applyFont="1" applyAlignment="1">
      <alignment/>
    </xf>
    <xf numFmtId="14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9" fontId="6" fillId="2" borderId="1" xfId="17" applyFont="1" applyFill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/>
    </xf>
    <xf numFmtId="10" fontId="6" fillId="2" borderId="2" xfId="17" applyNumberFormat="1" applyFont="1" applyFill="1" applyBorder="1" applyAlignment="1">
      <alignment/>
    </xf>
    <xf numFmtId="0" fontId="6" fillId="0" borderId="6" xfId="0" applyFont="1" applyBorder="1" applyAlignment="1">
      <alignment/>
    </xf>
    <xf numFmtId="2" fontId="6" fillId="2" borderId="6" xfId="0" applyNumberFormat="1" applyFont="1" applyFill="1" applyBorder="1" applyAlignment="1">
      <alignment/>
    </xf>
    <xf numFmtId="10" fontId="6" fillId="2" borderId="6" xfId="17" applyNumberFormat="1" applyFont="1" applyFill="1" applyBorder="1" applyAlignment="1">
      <alignment/>
    </xf>
    <xf numFmtId="10" fontId="6" fillId="2" borderId="3" xfId="17" applyNumberFormat="1" applyFont="1" applyFill="1" applyBorder="1" applyAlignment="1">
      <alignment/>
    </xf>
    <xf numFmtId="10" fontId="6" fillId="0" borderId="6" xfId="17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3225"/>
          <c:w val="0.90225"/>
          <c:h val="0.8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'Множ.знач.IRR'!$A$15:$A$57</c:f>
              <c:numCache/>
            </c:numRef>
          </c:cat>
          <c:val>
            <c:numRef>
              <c:f>'Множ.знач.IRR'!$B$15:$B$57</c:f>
              <c:numCache/>
            </c:numRef>
          </c:val>
          <c:smooth val="1"/>
        </c:ser>
        <c:axId val="51145656"/>
        <c:axId val="57657721"/>
      </c:lineChart>
      <c:catAx>
        <c:axId val="51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 Cyr"/>
                    <a:ea typeface="Times New Roman Cyr"/>
                    <a:cs typeface="Times New Roman Cyr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57721"/>
        <c:crosses val="autoZero"/>
        <c:auto val="0"/>
        <c:lblOffset val="100"/>
        <c:noMultiLvlLbl val="0"/>
      </c:catAx>
      <c:valAx>
        <c:axId val="5765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 Cyr"/>
                    <a:ea typeface="Times New Roman Cyr"/>
                    <a:cs typeface="Times New Roman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45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yr"/>
          <a:ea typeface="Times New Roman Cyr"/>
          <a:cs typeface="Times New Roman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19050</xdr:rowOff>
    </xdr:from>
    <xdr:to>
      <xdr:col>10</xdr:col>
      <xdr:colOff>266700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981200" y="666750"/>
        <a:ext cx="5838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4.125" style="1" customWidth="1"/>
    <col min="2" max="2" width="13.875" style="1" customWidth="1"/>
    <col min="3" max="16384" width="9.375" style="1" customWidth="1"/>
  </cols>
  <sheetData>
    <row r="1" spans="1:3" ht="12.75">
      <c r="A1" s="1" t="s">
        <v>0</v>
      </c>
      <c r="C1" s="1" t="s">
        <v>2</v>
      </c>
    </row>
    <row r="2" ht="12.75">
      <c r="A2" s="1" t="s">
        <v>1</v>
      </c>
    </row>
    <row r="3" ht="12.75">
      <c r="A3" s="1" t="s">
        <v>3</v>
      </c>
    </row>
    <row r="5" ht="15">
      <c r="A5" s="48" t="s">
        <v>4</v>
      </c>
    </row>
    <row r="7" ht="12.75">
      <c r="A7" s="12" t="s">
        <v>5</v>
      </c>
    </row>
    <row r="9" spans="1:2" ht="12.75">
      <c r="A9" s="1" t="s">
        <v>6</v>
      </c>
      <c r="B9" s="2">
        <v>0.14</v>
      </c>
    </row>
    <row r="10" spans="1:2" ht="12.75">
      <c r="A10" s="1" t="s">
        <v>7</v>
      </c>
      <c r="B10" s="2">
        <v>4</v>
      </c>
    </row>
    <row r="11" spans="1:2" ht="12.75">
      <c r="A11" s="1" t="s">
        <v>8</v>
      </c>
      <c r="B11" s="2">
        <v>5</v>
      </c>
    </row>
    <row r="12" spans="1:2" ht="12.75">
      <c r="A12" s="1" t="s">
        <v>9</v>
      </c>
      <c r="B12" s="2">
        <v>10000</v>
      </c>
    </row>
    <row r="13" spans="1:2" ht="12.75">
      <c r="A13" s="1" t="s">
        <v>10</v>
      </c>
      <c r="B13" s="2">
        <v>0</v>
      </c>
    </row>
    <row r="14" ht="12.75">
      <c r="B14" s="3"/>
    </row>
    <row r="15" spans="1:2" ht="12.75">
      <c r="A15" s="12" t="s">
        <v>11</v>
      </c>
      <c r="B15" s="3"/>
    </row>
    <row r="16" ht="12.75">
      <c r="B16" s="3"/>
    </row>
    <row r="17" spans="1:2" ht="12.75">
      <c r="A17" s="1" t="s">
        <v>12</v>
      </c>
      <c r="B17" s="3">
        <f>IF(B9*B10*B11*B12=0,0,FV(B9/B10,B11*B10,0,B12))</f>
        <v>-19897.888634658426</v>
      </c>
    </row>
    <row r="18" spans="1:2" ht="12.75">
      <c r="A18" s="1" t="s">
        <v>13</v>
      </c>
      <c r="B18" s="4">
        <f>IF(OR(B10*B11*B12*B13=0,B12*B13&gt;=0),0,"НОРМА(B11*B10;0;B12;B13)")</f>
        <v>0</v>
      </c>
    </row>
    <row r="19" spans="1:2" ht="12.75">
      <c r="A19" s="1" t="s">
        <v>14</v>
      </c>
      <c r="B19" s="4">
        <f>B18*B10</f>
        <v>0</v>
      </c>
    </row>
    <row r="20" spans="1:2" ht="12.75">
      <c r="A20" s="1" t="s">
        <v>15</v>
      </c>
      <c r="B20" s="5">
        <f>IF(OR(B9*B10*B12*B13=0,B12*B13&gt;=0),0,"КПЕР(B9/B10;0;B12;B13)")</f>
        <v>0</v>
      </c>
    </row>
    <row r="21" spans="1:2" ht="12.75">
      <c r="A21" s="1" t="s">
        <v>16</v>
      </c>
      <c r="B21" s="3">
        <f>IF(B9*B10*B11*B13=0,0,PV(B9/B10,B11*B10,0,B13))</f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C24"/>
  <sheetViews>
    <sheetView workbookViewId="0" topLeftCell="A1">
      <selection activeCell="A5" sqref="A5"/>
    </sheetView>
  </sheetViews>
  <sheetFormatPr defaultColWidth="9.00390625" defaultRowHeight="12.75"/>
  <cols>
    <col min="1" max="1" width="21.375" style="1" customWidth="1"/>
    <col min="2" max="3" width="18.375" style="1" customWidth="1"/>
    <col min="4" max="16384" width="9.375" style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1" t="s">
        <v>63</v>
      </c>
      <c r="B3" s="1" t="s">
        <v>64</v>
      </c>
    </row>
    <row r="5" ht="15">
      <c r="A5" s="48" t="s">
        <v>65</v>
      </c>
    </row>
    <row r="7" spans="1:2" ht="12.75">
      <c r="A7" s="12" t="s">
        <v>60</v>
      </c>
      <c r="B7" s="8">
        <v>0.1</v>
      </c>
    </row>
    <row r="8" spans="1:2" ht="12.75">
      <c r="A8" s="12" t="s">
        <v>61</v>
      </c>
      <c r="B8" s="8">
        <v>6</v>
      </c>
    </row>
    <row r="9" spans="1:2" ht="12.75">
      <c r="A9" s="12" t="s">
        <v>62</v>
      </c>
      <c r="B9" s="8">
        <v>0.1</v>
      </c>
    </row>
    <row r="10" spans="1:2" ht="12.75">
      <c r="A10" s="12" t="s">
        <v>66</v>
      </c>
      <c r="B10" s="2">
        <v>0</v>
      </c>
    </row>
    <row r="12" spans="1:3" ht="12.75">
      <c r="A12" s="15" t="s">
        <v>38</v>
      </c>
      <c r="B12" s="15" t="s">
        <v>39</v>
      </c>
      <c r="C12" s="15" t="s">
        <v>67</v>
      </c>
    </row>
    <row r="13" spans="1:3" ht="12.75">
      <c r="A13" s="22">
        <v>32903</v>
      </c>
      <c r="B13" s="23">
        <v>-100000</v>
      </c>
      <c r="C13" s="23">
        <v>-100000</v>
      </c>
    </row>
    <row r="14" spans="1:3" ht="12.75">
      <c r="A14" s="22">
        <v>33268</v>
      </c>
      <c r="B14" s="23">
        <v>25000</v>
      </c>
      <c r="C14" s="23">
        <f aca="true" t="shared" si="0" ref="C14:C19">B14*(1-Ошибка)</f>
        <v>25000</v>
      </c>
    </row>
    <row r="15" spans="1:3" ht="12.75">
      <c r="A15" s="22">
        <v>33633</v>
      </c>
      <c r="B15" s="23">
        <v>30000</v>
      </c>
      <c r="C15" s="23">
        <f t="shared" si="0"/>
        <v>30000</v>
      </c>
    </row>
    <row r="16" spans="1:3" ht="12.75">
      <c r="A16" s="22">
        <v>33999</v>
      </c>
      <c r="B16" s="23">
        <v>35000</v>
      </c>
      <c r="C16" s="23">
        <f t="shared" si="0"/>
        <v>35000</v>
      </c>
    </row>
    <row r="17" spans="1:3" ht="12.75">
      <c r="A17" s="22">
        <v>34364</v>
      </c>
      <c r="B17" s="23">
        <v>40000</v>
      </c>
      <c r="C17" s="23">
        <f t="shared" si="0"/>
        <v>40000</v>
      </c>
    </row>
    <row r="18" spans="1:3" ht="12.75">
      <c r="A18" s="22">
        <v>34729</v>
      </c>
      <c r="B18" s="23">
        <v>45000</v>
      </c>
      <c r="C18" s="23">
        <f t="shared" si="0"/>
        <v>45000</v>
      </c>
    </row>
    <row r="19" spans="1:3" ht="12.75">
      <c r="A19" s="22">
        <v>35094</v>
      </c>
      <c r="B19" s="23">
        <v>50000</v>
      </c>
      <c r="C19" s="23">
        <f t="shared" si="0"/>
        <v>50000</v>
      </c>
    </row>
    <row r="20" spans="1:3" ht="12.75">
      <c r="A20" s="24"/>
      <c r="B20" s="25"/>
      <c r="C20" s="25"/>
    </row>
    <row r="21" spans="1:3" ht="12.75">
      <c r="A21" s="10" t="s">
        <v>68</v>
      </c>
      <c r="B21" s="3">
        <f>_XLL.ЧИСТНЗ(B7,B13:B19,A13:A19)</f>
        <v>57273.710570256924</v>
      </c>
      <c r="C21" s="3">
        <f>_XLL.ЧИСТНЗ(B7,C13:C19,A13:A19)</f>
        <v>57273.710570256924</v>
      </c>
    </row>
    <row r="22" spans="1:3" ht="12.75">
      <c r="A22" s="10" t="s">
        <v>45</v>
      </c>
      <c r="B22" s="3">
        <f>-B21/C13+1</f>
        <v>1.5727371057025692</v>
      </c>
      <c r="C22" s="3">
        <f>-C21/C13+1</f>
        <v>1.5727371057025692</v>
      </c>
    </row>
    <row r="23" spans="1:3" ht="12.75">
      <c r="A23" s="10" t="s">
        <v>53</v>
      </c>
      <c r="B23" s="17">
        <f>MIRR(B13:B19,B7,B9)</f>
        <v>0.18626549366877487</v>
      </c>
      <c r="C23" s="26">
        <f>MIRR(C13:C19,B7,B9)</f>
        <v>0.18626549366877487</v>
      </c>
    </row>
    <row r="24" ht="12.75">
      <c r="B24" s="1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F17"/>
  <sheetViews>
    <sheetView workbookViewId="0" topLeftCell="A1">
      <selection activeCell="A1" sqref="A1"/>
    </sheetView>
  </sheetViews>
  <sheetFormatPr defaultColWidth="9.00390625" defaultRowHeight="12.75"/>
  <cols>
    <col min="1" max="1" width="18.50390625" style="1" customWidth="1"/>
    <col min="2" max="6" width="9.875" style="1" customWidth="1"/>
    <col min="7" max="16384" width="9.375" style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1" t="s">
        <v>69</v>
      </c>
      <c r="B3" s="1" t="s">
        <v>70</v>
      </c>
    </row>
    <row r="5" ht="12.75">
      <c r="A5" s="13" t="s">
        <v>71</v>
      </c>
    </row>
    <row r="7" spans="1:6" ht="63.75">
      <c r="A7" s="27" t="s">
        <v>72</v>
      </c>
      <c r="B7" s="27" t="s">
        <v>73</v>
      </c>
      <c r="C7" s="27" t="s">
        <v>74</v>
      </c>
      <c r="D7" s="27" t="s">
        <v>75</v>
      </c>
      <c r="E7" s="27" t="s">
        <v>76</v>
      </c>
      <c r="F7" s="27" t="s">
        <v>77</v>
      </c>
    </row>
    <row r="8" spans="1:6" ht="12.75">
      <c r="A8" s="28"/>
      <c r="B8" s="28"/>
      <c r="C8" s="28"/>
      <c r="D8" s="28"/>
      <c r="E8" s="28"/>
      <c r="F8" s="28"/>
    </row>
    <row r="9" spans="1:6" ht="12.75">
      <c r="A9" s="29" t="s">
        <v>78</v>
      </c>
      <c r="B9" s="30">
        <v>15000</v>
      </c>
      <c r="C9" s="30">
        <v>80000</v>
      </c>
      <c r="D9" s="29">
        <f aca="true" t="shared" si="0" ref="D9:D14">B9*F9</f>
        <v>0</v>
      </c>
      <c r="E9" s="29">
        <f aca="true" t="shared" si="1" ref="E9:E14">C9*F9</f>
        <v>0</v>
      </c>
      <c r="F9" s="30">
        <v>0</v>
      </c>
    </row>
    <row r="10" spans="1:6" ht="12.75">
      <c r="A10" s="31" t="s">
        <v>79</v>
      </c>
      <c r="B10" s="8">
        <v>19000</v>
      </c>
      <c r="C10" s="8">
        <v>60000</v>
      </c>
      <c r="D10" s="29">
        <f t="shared" si="0"/>
        <v>19000</v>
      </c>
      <c r="E10" s="29">
        <f t="shared" si="1"/>
        <v>60000</v>
      </c>
      <c r="F10" s="8">
        <v>1</v>
      </c>
    </row>
    <row r="11" spans="1:6" ht="12.75">
      <c r="A11" s="31" t="s">
        <v>80</v>
      </c>
      <c r="B11" s="8">
        <v>42000</v>
      </c>
      <c r="C11" s="8">
        <v>70000</v>
      </c>
      <c r="D11" s="29">
        <f t="shared" si="0"/>
        <v>42000</v>
      </c>
      <c r="E11" s="29">
        <f t="shared" si="1"/>
        <v>70000</v>
      </c>
      <c r="F11" s="8">
        <v>1</v>
      </c>
    </row>
    <row r="12" spans="1:6" ht="12.75">
      <c r="A12" s="31" t="s">
        <v>81</v>
      </c>
      <c r="B12" s="8">
        <v>45000</v>
      </c>
      <c r="C12" s="8">
        <v>100000</v>
      </c>
      <c r="D12" s="29">
        <f t="shared" si="0"/>
        <v>45000</v>
      </c>
      <c r="E12" s="29">
        <f t="shared" si="1"/>
        <v>100000</v>
      </c>
      <c r="F12" s="8">
        <v>1</v>
      </c>
    </row>
    <row r="13" spans="1:6" ht="12.75">
      <c r="A13" s="31" t="s">
        <v>82</v>
      </c>
      <c r="B13" s="8">
        <v>12000</v>
      </c>
      <c r="C13" s="8">
        <v>40000</v>
      </c>
      <c r="D13" s="29">
        <f t="shared" si="0"/>
        <v>6000</v>
      </c>
      <c r="E13" s="29">
        <f t="shared" si="1"/>
        <v>20000</v>
      </c>
      <c r="F13" s="8">
        <v>0.5</v>
      </c>
    </row>
    <row r="14" spans="1:6" ht="12.75">
      <c r="A14" s="31" t="s">
        <v>83</v>
      </c>
      <c r="B14" s="8">
        <v>16500</v>
      </c>
      <c r="C14" s="8">
        <v>110000</v>
      </c>
      <c r="D14" s="29">
        <f t="shared" si="0"/>
        <v>0</v>
      </c>
      <c r="E14" s="29">
        <f t="shared" si="1"/>
        <v>0</v>
      </c>
      <c r="F14" s="8">
        <v>0</v>
      </c>
    </row>
    <row r="16" spans="1:4" ht="12.75">
      <c r="A16" s="1" t="s">
        <v>84</v>
      </c>
      <c r="D16" s="1">
        <f>SUM(D9:D14)</f>
        <v>112000</v>
      </c>
    </row>
    <row r="17" spans="1:5" ht="12.75">
      <c r="A17" s="1" t="s">
        <v>85</v>
      </c>
      <c r="E17" s="1">
        <f>SUM(E8:E14)</f>
        <v>250000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G23"/>
  <sheetViews>
    <sheetView workbookViewId="0" topLeftCell="A1">
      <selection activeCell="F6" sqref="F6"/>
    </sheetView>
  </sheetViews>
  <sheetFormatPr defaultColWidth="9.00390625" defaultRowHeight="12.75"/>
  <cols>
    <col min="1" max="1" width="18.625" style="1" customWidth="1"/>
    <col min="2" max="2" width="13.125" style="1" customWidth="1"/>
    <col min="3" max="3" width="18.625" style="1" customWidth="1"/>
    <col min="4" max="4" width="11.625" style="1" customWidth="1"/>
    <col min="5" max="5" width="22.625" style="1" customWidth="1"/>
    <col min="6" max="6" width="12.625" style="1" customWidth="1"/>
    <col min="7" max="7" width="15.00390625" style="1" customWidth="1"/>
    <col min="8" max="16384" width="9.375" style="1" customWidth="1"/>
  </cols>
  <sheetData>
    <row r="1" spans="1:3" ht="12.75">
      <c r="A1" s="1" t="s">
        <v>0</v>
      </c>
      <c r="C1" s="1" t="s">
        <v>95</v>
      </c>
    </row>
    <row r="2" ht="12.75">
      <c r="A2" s="1" t="s">
        <v>1</v>
      </c>
    </row>
    <row r="3" ht="12.75">
      <c r="A3" s="1" t="s">
        <v>86</v>
      </c>
    </row>
    <row r="5" ht="15">
      <c r="A5" s="48" t="s">
        <v>96</v>
      </c>
    </row>
    <row r="6" spans="1:7" ht="25.5" customHeight="1">
      <c r="A6" s="32" t="s">
        <v>87</v>
      </c>
      <c r="B6" s="33"/>
      <c r="C6" s="32" t="s">
        <v>97</v>
      </c>
      <c r="D6" s="33"/>
      <c r="E6" s="36" t="s">
        <v>98</v>
      </c>
      <c r="F6" s="3">
        <f>-PMT(Норма/Кол_плата,Периодов,(Стоимость+Ликвид_стоим)-СВ_Налог,,Тип)/(1-Налог)</f>
        <v>346962.0481236997</v>
      </c>
      <c r="G6" s="3"/>
    </row>
    <row r="7" spans="1:4" ht="12.75">
      <c r="A7" s="31" t="s">
        <v>90</v>
      </c>
      <c r="B7" s="34">
        <v>0.4</v>
      </c>
      <c r="C7" s="31" t="s">
        <v>92</v>
      </c>
      <c r="D7" s="34">
        <v>0.1</v>
      </c>
    </row>
    <row r="8" spans="1:6" ht="25.5">
      <c r="A8" s="31" t="s">
        <v>99</v>
      </c>
      <c r="B8" s="2">
        <v>1000000</v>
      </c>
      <c r="C8" s="31" t="s">
        <v>89</v>
      </c>
      <c r="D8" s="8">
        <v>1</v>
      </c>
      <c r="E8" s="36" t="s">
        <v>100</v>
      </c>
      <c r="F8" s="3">
        <f>-PV(Норма,Срок,0,Остат_стоим,Тип)</f>
        <v>62092.1323059155</v>
      </c>
    </row>
    <row r="9" spans="1:4" ht="12.75">
      <c r="A9" s="31" t="s">
        <v>88</v>
      </c>
      <c r="B9" s="2">
        <v>100000</v>
      </c>
      <c r="C9" s="31" t="s">
        <v>91</v>
      </c>
      <c r="D9" s="8">
        <v>0</v>
      </c>
    </row>
    <row r="10" spans="1:4" ht="12.75">
      <c r="A10" s="31" t="s">
        <v>101</v>
      </c>
      <c r="B10" s="8">
        <v>5</v>
      </c>
      <c r="C10" s="31" t="s">
        <v>102</v>
      </c>
      <c r="D10" s="35">
        <f>Мин_платеж</f>
        <v>346962.0481236997</v>
      </c>
    </row>
    <row r="12" spans="1:5" ht="38.25">
      <c r="A12" s="7" t="s">
        <v>93</v>
      </c>
      <c r="B12" s="7" t="s">
        <v>103</v>
      </c>
      <c r="C12" s="7" t="s">
        <v>104</v>
      </c>
      <c r="D12" s="7" t="s">
        <v>94</v>
      </c>
      <c r="E12" s="7" t="s">
        <v>105</v>
      </c>
    </row>
    <row r="13" spans="1:5" ht="12.75">
      <c r="A13" s="1">
        <v>0</v>
      </c>
      <c r="B13" s="3">
        <f>IF(Тип=1,(-Стоимость+Платеж),-Стоимость)</f>
        <v>-1000000</v>
      </c>
      <c r="C13" s="3"/>
      <c r="D13" s="3"/>
      <c r="E13" s="3">
        <f aca="true" t="shared" si="0" ref="E13:E18">SUM(B13:D13)</f>
        <v>-1000000</v>
      </c>
    </row>
    <row r="14" spans="1:5" ht="12.75">
      <c r="A14" s="1">
        <v>1</v>
      </c>
      <c r="B14" s="3">
        <f>Платеж</f>
        <v>346962.0481236997</v>
      </c>
      <c r="C14" s="3">
        <f>-B14*Налог</f>
        <v>-138784.8192494799</v>
      </c>
      <c r="D14" s="3">
        <f>Налог*SLN(Стоимость,Остат_стоим,Срок*Кол_плата)</f>
        <v>72000</v>
      </c>
      <c r="E14" s="3">
        <f t="shared" si="0"/>
        <v>280177.2288742198</v>
      </c>
    </row>
    <row r="15" spans="1:5" ht="12.75">
      <c r="A15" s="1">
        <v>2</v>
      </c>
      <c r="B15" s="3">
        <f>IF(Тип=0,Платеж,0)</f>
        <v>346962.0481236997</v>
      </c>
      <c r="C15" s="3">
        <f>IF(Тип=0,-B15*Налог,C14)</f>
        <v>-138784.8192494799</v>
      </c>
      <c r="D15" s="3">
        <f>Налог*SLN(Стоимость,Остат_стоим,Срок*Кол_плата)</f>
        <v>72000</v>
      </c>
      <c r="E15" s="3">
        <f t="shared" si="0"/>
        <v>280177.2288742198</v>
      </c>
    </row>
    <row r="16" spans="1:5" ht="12.75">
      <c r="A16" s="1">
        <v>3</v>
      </c>
      <c r="B16" s="3">
        <f>IF(Тип=0,Платеж,0)</f>
        <v>346962.0481236997</v>
      </c>
      <c r="C16" s="3">
        <f>IF(Тип=0,-B16*Налог,C14)</f>
        <v>-138784.8192494799</v>
      </c>
      <c r="D16" s="3">
        <f>Налог*SLN(Стоимость,Остат_стоим,Срок*Кол_плата)</f>
        <v>72000</v>
      </c>
      <c r="E16" s="3">
        <f t="shared" si="0"/>
        <v>280177.2288742198</v>
      </c>
    </row>
    <row r="17" spans="1:5" ht="12.75">
      <c r="A17" s="1">
        <v>4</v>
      </c>
      <c r="B17" s="3">
        <f>IF(Тип=0,Платеж,0)</f>
        <v>346962.0481236997</v>
      </c>
      <c r="C17" s="3">
        <f>IF(Тип=0,-B17*Налог,C14)</f>
        <v>-138784.8192494799</v>
      </c>
      <c r="D17" s="3">
        <f>Налог*SLN(Стоимость,Остат_стоим,Срок*Кол_плата)</f>
        <v>72000</v>
      </c>
      <c r="E17" s="3">
        <f t="shared" si="0"/>
        <v>280177.2288742198</v>
      </c>
    </row>
    <row r="18" spans="1:5" ht="12.75">
      <c r="A18" s="1">
        <f>Срок*Кол_плата</f>
        <v>5</v>
      </c>
      <c r="B18" s="3">
        <f>IF(Тип=0,Платеж,0)</f>
        <v>346962.0481236997</v>
      </c>
      <c r="C18" s="3">
        <f>IF(Тип=0,-B18*Налог,C14)</f>
        <v>-138784.8192494799</v>
      </c>
      <c r="D18" s="3">
        <f>Налог*SLN(Стоимость,Остат_стоим,Срок*Кол_плата)</f>
        <v>72000</v>
      </c>
      <c r="E18" s="3">
        <f t="shared" si="0"/>
        <v>280177.2288742198</v>
      </c>
    </row>
    <row r="19" spans="1:5" ht="12.75">
      <c r="A19" s="12" t="s">
        <v>106</v>
      </c>
      <c r="E19" s="3">
        <f>NPV(Норма/Кол_плата,Чист_плат)+E13+Ликвид_стоим</f>
        <v>124184.2646118305</v>
      </c>
    </row>
    <row r="20" spans="1:5" ht="12.75">
      <c r="A20" s="12" t="s">
        <v>45</v>
      </c>
      <c r="E20" s="3">
        <f>--E19/E13+1</f>
        <v>0.8758157353881695</v>
      </c>
    </row>
    <row r="21" spans="1:5" ht="12.75">
      <c r="A21" s="12" t="s">
        <v>49</v>
      </c>
      <c r="E21" s="3">
        <f>IRR(E13:E18)</f>
        <v>0.12401935484455225</v>
      </c>
    </row>
    <row r="22" spans="1:5" ht="12.75">
      <c r="A22" s="12" t="s">
        <v>53</v>
      </c>
      <c r="E22" s="3">
        <f>MIRR(E13:E18,Норма,Норма)</f>
        <v>0.11333310622665516</v>
      </c>
    </row>
    <row r="23" spans="1:5" ht="12.75">
      <c r="A23" s="12" t="s">
        <v>107</v>
      </c>
      <c r="E23" s="3">
        <f>NPV(Норма/Кол_плата,Налог_щит)</f>
        <v>272936.6473974082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F21"/>
  <sheetViews>
    <sheetView workbookViewId="0" topLeftCell="A1">
      <selection activeCell="D20" sqref="D20"/>
    </sheetView>
  </sheetViews>
  <sheetFormatPr defaultColWidth="9.00390625" defaultRowHeight="12.75"/>
  <cols>
    <col min="1" max="1" width="29.625" style="1" customWidth="1"/>
    <col min="2" max="2" width="14.00390625" style="1" customWidth="1"/>
    <col min="3" max="3" width="13.375" style="1" customWidth="1"/>
    <col min="4" max="4" width="23.375" style="1" customWidth="1"/>
    <col min="5" max="16384" width="9.375" style="1" customWidth="1"/>
  </cols>
  <sheetData>
    <row r="1" spans="1:2" ht="12.75">
      <c r="A1" s="1" t="s">
        <v>0</v>
      </c>
      <c r="B1" s="1" t="s">
        <v>108</v>
      </c>
    </row>
    <row r="2" ht="12.75">
      <c r="A2" s="1" t="s">
        <v>1</v>
      </c>
    </row>
    <row r="3" ht="12.75">
      <c r="A3" s="1" t="s">
        <v>109</v>
      </c>
    </row>
    <row r="5" ht="15">
      <c r="A5" s="48" t="s">
        <v>110</v>
      </c>
    </row>
    <row r="7" spans="1:6" ht="25.5">
      <c r="A7" s="37" t="s">
        <v>111</v>
      </c>
      <c r="B7" s="27" t="s">
        <v>112</v>
      </c>
      <c r="C7" s="27" t="s">
        <v>113</v>
      </c>
      <c r="D7" s="27" t="s">
        <v>114</v>
      </c>
      <c r="E7" s="38"/>
      <c r="F7" s="38"/>
    </row>
    <row r="8" spans="1:4" ht="12.75">
      <c r="A8" s="28" t="s">
        <v>115</v>
      </c>
      <c r="B8" s="39">
        <v>0.15</v>
      </c>
      <c r="C8" s="40">
        <v>-0.25</v>
      </c>
      <c r="D8" s="28">
        <f>B8*POWER((C8-Среднее),2)</f>
        <v>0.023403750000000004</v>
      </c>
    </row>
    <row r="9" spans="1:4" ht="12.75">
      <c r="A9" s="41" t="s">
        <v>116</v>
      </c>
      <c r="B9" s="42">
        <v>0.2</v>
      </c>
      <c r="C9" s="43">
        <v>0.1</v>
      </c>
      <c r="D9" s="41">
        <f>B9*POWER((C9-Среднее),2)</f>
        <v>0.00040500000000000025</v>
      </c>
    </row>
    <row r="10" spans="1:4" ht="12.75">
      <c r="A10" s="41" t="s">
        <v>117</v>
      </c>
      <c r="B10" s="42">
        <v>0.4</v>
      </c>
      <c r="C10" s="43">
        <v>0.2</v>
      </c>
      <c r="D10" s="41">
        <f>B10*POWER((C10-Среднее),2)</f>
        <v>0.00121</v>
      </c>
    </row>
    <row r="11" spans="1:4" ht="12.75">
      <c r="A11" s="41" t="s">
        <v>118</v>
      </c>
      <c r="B11" s="42">
        <v>0.2</v>
      </c>
      <c r="C11" s="43">
        <v>0.3</v>
      </c>
      <c r="D11" s="41">
        <f>B11*POWER((C11-Среднее),2)</f>
        <v>0.0048049999999999985</v>
      </c>
    </row>
    <row r="12" spans="1:4" ht="12.75">
      <c r="A12" s="29" t="s">
        <v>119</v>
      </c>
      <c r="B12" s="30">
        <v>0.05</v>
      </c>
      <c r="C12" s="44">
        <v>0.45</v>
      </c>
      <c r="D12" s="41">
        <f>B12*POWER((C12-Среднее),2)</f>
        <v>0.00465125</v>
      </c>
    </row>
    <row r="13" spans="1:4" ht="12.75">
      <c r="A13" s="28"/>
      <c r="B13" s="28"/>
      <c r="C13" s="28"/>
      <c r="D13" s="28"/>
    </row>
    <row r="14" spans="1:4" ht="12.75">
      <c r="A14" s="41" t="s">
        <v>120</v>
      </c>
      <c r="B14" s="45">
        <f>SUMPRODUCT(B8:B12,C8:C12)</f>
        <v>0.14500000000000002</v>
      </c>
      <c r="C14" s="41"/>
      <c r="D14" s="41"/>
    </row>
    <row r="15" spans="1:4" ht="12.75">
      <c r="A15" s="41" t="s">
        <v>121</v>
      </c>
      <c r="B15" s="45">
        <f>SQRT(SUM(D8:D12))</f>
        <v>0.18567444627627144</v>
      </c>
      <c r="C15" s="41"/>
      <c r="D15" s="41"/>
    </row>
    <row r="16" spans="1:4" ht="12.75">
      <c r="A16" s="29" t="s">
        <v>122</v>
      </c>
      <c r="B16" s="46">
        <f>Отклонение/Среднее</f>
        <v>1.2805134225949752</v>
      </c>
      <c r="C16" s="29"/>
      <c r="D16" s="29"/>
    </row>
    <row r="18" spans="2:4" ht="12.75">
      <c r="B18" s="47" t="s">
        <v>123</v>
      </c>
      <c r="C18" s="47"/>
      <c r="D18" s="31" t="s">
        <v>124</v>
      </c>
    </row>
    <row r="19" spans="2:3" ht="12.75">
      <c r="B19" s="15" t="s">
        <v>125</v>
      </c>
      <c r="C19" s="15" t="s">
        <v>126</v>
      </c>
    </row>
    <row r="20" spans="2:4" ht="12.75">
      <c r="B20" s="19">
        <v>-0.1</v>
      </c>
      <c r="C20" s="19">
        <v>0</v>
      </c>
      <c r="D20" s="3">
        <f>NORMDIST(C20,Среднее,Отклонение,1)-NORMDIST(B20,Среднее,Отклонение,1)</f>
        <v>0.12392115133367299</v>
      </c>
    </row>
    <row r="21" spans="2:4" ht="12.75">
      <c r="B21" s="19">
        <v>0.15</v>
      </c>
      <c r="C21" s="19">
        <v>0.45</v>
      </c>
      <c r="D21" s="3">
        <f>NORMDIST(C21,Среднее,Отклонение,1)-NORMDIST(B21,Среднее,Отклонение,1)</f>
        <v>0.4390315982241665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workbookViewId="0" topLeftCell="A1">
      <selection activeCell="C17" sqref="C17"/>
    </sheetView>
  </sheetViews>
  <sheetFormatPr defaultColWidth="9.00390625" defaultRowHeight="12.75"/>
  <cols>
    <col min="1" max="1" width="44.125" style="1" customWidth="1"/>
    <col min="2" max="3" width="13.875" style="1" customWidth="1"/>
    <col min="4" max="16384" width="9.375" style="1" customWidth="1"/>
  </cols>
  <sheetData>
    <row r="1" spans="1:3" ht="12.75">
      <c r="A1" s="1" t="s">
        <v>0</v>
      </c>
      <c r="C1" s="1" t="s">
        <v>17</v>
      </c>
    </row>
    <row r="2" ht="12.75">
      <c r="A2" s="1" t="s">
        <v>1</v>
      </c>
    </row>
    <row r="3" ht="12.75">
      <c r="A3" s="1" t="s">
        <v>3</v>
      </c>
    </row>
    <row r="5" ht="15">
      <c r="A5" s="48" t="s">
        <v>18</v>
      </c>
    </row>
    <row r="7" ht="12.75">
      <c r="A7" s="12" t="s">
        <v>5</v>
      </c>
    </row>
    <row r="9" spans="1:3" ht="12.75">
      <c r="A9" s="1" t="s">
        <v>6</v>
      </c>
      <c r="B9" s="2">
        <v>0.12</v>
      </c>
      <c r="C9" s="2">
        <v>0.11</v>
      </c>
    </row>
    <row r="10" spans="1:3" ht="12.75">
      <c r="A10" s="1" t="s">
        <v>7</v>
      </c>
      <c r="B10" s="2">
        <v>4</v>
      </c>
      <c r="C10" s="2">
        <v>12</v>
      </c>
    </row>
    <row r="11" spans="1:3" ht="12.75">
      <c r="A11" s="1" t="s">
        <v>8</v>
      </c>
      <c r="B11" s="2">
        <v>5</v>
      </c>
      <c r="C11" s="2">
        <v>5</v>
      </c>
    </row>
    <row r="12" spans="1:3" ht="12.75">
      <c r="A12" s="1" t="s">
        <v>9</v>
      </c>
      <c r="B12" s="2">
        <v>100000</v>
      </c>
      <c r="C12" s="2">
        <v>100000</v>
      </c>
    </row>
    <row r="13" spans="1:3" ht="12.75">
      <c r="A13" s="1" t="s">
        <v>10</v>
      </c>
      <c r="B13" s="2">
        <v>0</v>
      </c>
      <c r="C13" s="2">
        <v>0</v>
      </c>
    </row>
    <row r="14" spans="2:3" ht="12.75">
      <c r="B14" s="3"/>
      <c r="C14" s="3"/>
    </row>
    <row r="15" spans="1:3" ht="12.75">
      <c r="A15" s="12" t="s">
        <v>11</v>
      </c>
      <c r="B15" s="3"/>
      <c r="C15" s="3"/>
    </row>
    <row r="16" spans="2:3" ht="12.75">
      <c r="B16" s="3"/>
      <c r="C16" s="3"/>
    </row>
    <row r="17" spans="1:3" ht="12.75">
      <c r="A17" s="1" t="s">
        <v>12</v>
      </c>
      <c r="B17" s="3">
        <f>IF(B9*B10*B11*B12=0,0,FV(B9/B10,B11*B10,0,B12))</f>
        <v>-180611.12346694132</v>
      </c>
      <c r="C17" s="3">
        <f>IF(C9*C10*C11*C12=0,0,FV(C9/C10,C11*C10,0,C12))</f>
        <v>-172891.5730453424</v>
      </c>
    </row>
    <row r="18" spans="1:3" ht="12.75">
      <c r="A18" s="1" t="s">
        <v>13</v>
      </c>
      <c r="B18" s="4">
        <f>IF(OR(B10*B11*B12*B13=0,B12*B13&gt;=0),0,"НОРМА(B11*B10;0;B12;B13)")</f>
        <v>0</v>
      </c>
      <c r="C18" s="4">
        <f>IF(OR(C10*C11*C12*C13=0,C12*C13&gt;=0),0,"НОРМА(B11*B10;0;B12;B13)")</f>
        <v>0</v>
      </c>
    </row>
    <row r="19" spans="1:3" ht="12.75">
      <c r="A19" s="1" t="s">
        <v>14</v>
      </c>
      <c r="B19" s="4">
        <f>B18*B10</f>
        <v>0</v>
      </c>
      <c r="C19" s="4">
        <f>C18*C10</f>
        <v>0</v>
      </c>
    </row>
    <row r="20" spans="1:3" ht="12.75">
      <c r="A20" s="1" t="s">
        <v>15</v>
      </c>
      <c r="B20" s="5">
        <f>IF(OR(B9*B10*B12*B13=0,B12*B13&gt;=0),0,"КПЕР(B9/B10;0;B12;B13)")</f>
        <v>0</v>
      </c>
      <c r="C20" s="5">
        <f>IF(OR(C9*C10*C12*C13=0,C12*C13&gt;=0),0,"КПЕР(B9/B10;0;B12;B13)")</f>
        <v>0</v>
      </c>
    </row>
    <row r="21" spans="1:3" ht="12.75">
      <c r="A21" s="1" t="s">
        <v>16</v>
      </c>
      <c r="B21" s="3">
        <f>IF(B9*B10*B11*B13=0,0,PV(B9/B10,B11*B10,0,B13))</f>
        <v>0</v>
      </c>
      <c r="C21" s="3">
        <f>IF(C9*C10*C11*C13=0,0,PV(C9/C10,C11*C10,0,C13))</f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17"/>
  <sheetViews>
    <sheetView workbookViewId="0" topLeftCell="A1">
      <selection activeCell="D14" sqref="D14"/>
    </sheetView>
  </sheetViews>
  <sheetFormatPr defaultColWidth="9.00390625" defaultRowHeight="12.75"/>
  <cols>
    <col min="1" max="4" width="13.875" style="1" customWidth="1"/>
    <col min="5" max="5" width="14.625" style="1" customWidth="1"/>
    <col min="6" max="6" width="14.50390625" style="1" customWidth="1"/>
    <col min="7" max="16384" width="9.375" style="1" customWidth="1"/>
  </cols>
  <sheetData>
    <row r="1" spans="1:3" ht="12.75">
      <c r="A1" s="1" t="s">
        <v>0</v>
      </c>
      <c r="C1" s="1" t="s">
        <v>19</v>
      </c>
    </row>
    <row r="2" ht="12.75">
      <c r="A2" s="1" t="s">
        <v>1</v>
      </c>
    </row>
    <row r="3" ht="12.75">
      <c r="A3" s="1" t="s">
        <v>20</v>
      </c>
    </row>
    <row r="5" ht="15">
      <c r="A5" s="48" t="s">
        <v>21</v>
      </c>
    </row>
    <row r="6" ht="12.75">
      <c r="A6" s="1" t="s">
        <v>22</v>
      </c>
    </row>
    <row r="7" spans="1:5" ht="38.25">
      <c r="A7" s="7" t="s">
        <v>23</v>
      </c>
      <c r="B7" s="7" t="s">
        <v>24</v>
      </c>
      <c r="C7" s="7" t="s">
        <v>127</v>
      </c>
      <c r="D7" s="7" t="s">
        <v>25</v>
      </c>
      <c r="E7" s="7" t="s">
        <v>26</v>
      </c>
    </row>
    <row r="8" spans="1:5" ht="12.75">
      <c r="A8" s="2">
        <v>10000</v>
      </c>
      <c r="B8" s="8">
        <v>5</v>
      </c>
      <c r="C8" s="8">
        <v>1</v>
      </c>
      <c r="D8" s="9">
        <v>0.12</v>
      </c>
      <c r="E8" s="8">
        <v>0</v>
      </c>
    </row>
    <row r="10" ht="12.75">
      <c r="A10" s="1" t="s">
        <v>11</v>
      </c>
    </row>
    <row r="11" spans="1:6" ht="12.75">
      <c r="A11" s="1" t="s">
        <v>27</v>
      </c>
      <c r="C11" s="14">
        <f>-PMT(Ставка/Выплат,Срок*Выплат,Сумма,,Тип)</f>
        <v>2774.0973194104877</v>
      </c>
      <c r="D11" s="1" t="s">
        <v>28</v>
      </c>
      <c r="F11" s="12">
        <f>Срок*Выплат</f>
        <v>5</v>
      </c>
    </row>
    <row r="12" spans="1:6" ht="25.5">
      <c r="A12" s="7" t="s">
        <v>29</v>
      </c>
      <c r="B12" s="7" t="s">
        <v>30</v>
      </c>
      <c r="C12" s="7" t="s">
        <v>31</v>
      </c>
      <c r="D12" s="7" t="s">
        <v>32</v>
      </c>
      <c r="E12" s="7" t="s">
        <v>33</v>
      </c>
      <c r="F12" s="7" t="s">
        <v>34</v>
      </c>
    </row>
    <row r="13" spans="1:6" ht="12.75">
      <c r="A13" s="11">
        <v>1</v>
      </c>
      <c r="B13" s="3">
        <f>Сумма-E13</f>
        <v>8425.902680589514</v>
      </c>
      <c r="C13" s="3">
        <f>-PPMT(Ставка/Выплат,A13,Срок*Выплат,Сумма,,Тип)</f>
        <v>1574.0973194104877</v>
      </c>
      <c r="D13" s="3">
        <f>-IPMT(Ставка/Выплат,A13,Срок*Выплат,Сумма,,Тип)</f>
        <v>1200</v>
      </c>
      <c r="E13" s="3">
        <f>-_XLL.ОБЩДОХОД(Ставка/Выплат,Срок*Выплат,Сумма,1,A13,Тип)</f>
        <v>1574.0973194104868</v>
      </c>
      <c r="F13" s="3">
        <f>-_XLL.ОБЩПЛАТ(Ставка/Выплат,Срок*Выплат,Сумма,1,A13,Тип)</f>
        <v>1200</v>
      </c>
    </row>
    <row r="14" spans="1:6" ht="12.75">
      <c r="A14" s="11">
        <v>2</v>
      </c>
      <c r="B14" s="3">
        <f>Сумма-E14</f>
        <v>6662.9136828497685</v>
      </c>
      <c r="C14" s="3">
        <f>-PPMT(Ставка/Выплат,A14,Срок*Выплат,Сумма,,Тип)</f>
        <v>1762.9889977397463</v>
      </c>
      <c r="D14" s="3">
        <f>-IPMT(Ставка/Выплат,A14,Срок*Выплат,Сумма,,Тип)</f>
        <v>1011.1083216707414</v>
      </c>
      <c r="E14" s="3">
        <f>-_XLL.ОБЩДОХОД(Ставка/Выплат,Срок*Выплат,Сумма,1,A14,Тип)</f>
        <v>3337.086317150232</v>
      </c>
      <c r="F14" s="3">
        <f>-_XLL.ОБЩПЛАТ(Ставка/Выплат,Срок*Выплат,Сумма,1,A14,Тип)</f>
        <v>2211.1083216707416</v>
      </c>
    </row>
    <row r="15" spans="1:6" ht="12.75">
      <c r="A15" s="11">
        <v>3</v>
      </c>
      <c r="B15" s="3">
        <f>Сумма-E15</f>
        <v>4688.366005381254</v>
      </c>
      <c r="C15" s="3">
        <f>-PPMT(Ставка/Выплат,A15,Срок*Выплат,Сумма,,Тип)</f>
        <v>1974.547677468516</v>
      </c>
      <c r="D15" s="3">
        <f>-IPMT(Ставка/Выплат,A15,Срок*Выплат,Сумма,,Тип)</f>
        <v>799.5496419419717</v>
      </c>
      <c r="E15" s="3">
        <f>-_XLL.ОБЩДОХОД(Ставка/Выплат,Срок*Выплат,Сумма,1,A15,Тип)</f>
        <v>5311.633994618746</v>
      </c>
      <c r="F15" s="3">
        <f>-_XLL.ОБЩПЛАТ(Ставка/Выплат,Срок*Выплат,Сумма,1,A15,Тип)</f>
        <v>3010.6579636127135</v>
      </c>
    </row>
    <row r="16" spans="1:6" ht="12.75">
      <c r="A16" s="11">
        <v>4</v>
      </c>
      <c r="B16" s="3">
        <f>Сумма-E16</f>
        <v>2476.8726066165173</v>
      </c>
      <c r="C16" s="3">
        <f>-PPMT(Ставка/Выплат,A16,Срок*Выплат,Сумма,,Тип)</f>
        <v>2211.4933987647382</v>
      </c>
      <c r="D16" s="3">
        <f>-IPMT(Ставка/Выплат,A16,Срок*Выплат,Сумма,,Тип)</f>
        <v>562.6039206457494</v>
      </c>
      <c r="E16" s="3">
        <f>-_XLL.ОБЩДОХОД(Ставка/Выплат,Срок*Выплат,Сумма,1,A16,Тип)</f>
        <v>7523.127393383483</v>
      </c>
      <c r="F16" s="3">
        <f>-_XLL.ОБЩПЛАТ(Ставка/Выплат,Срок*Выплат,Сумма,1,A16,Тип)</f>
        <v>3573.261884258464</v>
      </c>
    </row>
    <row r="17" spans="1:6" ht="12.75">
      <c r="A17" s="11">
        <v>5</v>
      </c>
      <c r="B17" s="3">
        <f>Сумма-E17</f>
        <v>0</v>
      </c>
      <c r="C17" s="3">
        <f>-PPMT(Ставка/Выплат,A17,Срок*Выплат,Сумма,,Тип)</f>
        <v>2476.8726066165063</v>
      </c>
      <c r="D17" s="3">
        <f>-IPMT(Ставка/Выплат,A17,Срок*Выплат,Сумма,,Тип)</f>
        <v>297.2247127939811</v>
      </c>
      <c r="E17" s="3">
        <f>-_XLL.ОБЩДОХОД(Ставка/Выплат,Срок*Выплат,Сумма,1,A17,Тип)</f>
        <v>9999.999999999987</v>
      </c>
      <c r="F17" s="3">
        <f>-_XLL.ОБЩПЛАТ(Ставка/Выплат,Срок*Выплат,Сумма,1,A17,Тип)</f>
        <v>3870.486597052446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workbookViewId="0" topLeftCell="A1">
      <selection activeCell="B19" sqref="B19"/>
    </sheetView>
  </sheetViews>
  <sheetFormatPr defaultColWidth="9.00390625" defaultRowHeight="12.75"/>
  <cols>
    <col min="1" max="1" width="18.50390625" style="1" customWidth="1"/>
    <col min="2" max="2" width="18.375" style="1" customWidth="1"/>
    <col min="3" max="16384" width="9.375" style="1" customWidth="1"/>
  </cols>
  <sheetData>
    <row r="1" spans="1:3" ht="12.75">
      <c r="A1" s="1" t="s">
        <v>0</v>
      </c>
      <c r="C1" s="1" t="s">
        <v>35</v>
      </c>
    </row>
    <row r="2" ht="12.75">
      <c r="A2" s="1" t="s">
        <v>1</v>
      </c>
    </row>
    <row r="3" ht="12.75">
      <c r="A3" s="1" t="s">
        <v>131</v>
      </c>
    </row>
    <row r="5" ht="15">
      <c r="A5" s="48" t="s">
        <v>36</v>
      </c>
    </row>
    <row r="7" spans="1:2" ht="12.75">
      <c r="A7" s="1" t="s">
        <v>37</v>
      </c>
      <c r="B7" s="8">
        <v>0.1</v>
      </c>
    </row>
    <row r="9" spans="1:2" ht="12.75">
      <c r="A9" s="15" t="s">
        <v>38</v>
      </c>
      <c r="B9" s="15" t="s">
        <v>39</v>
      </c>
    </row>
    <row r="10" spans="1:2" ht="12.75">
      <c r="A10" s="16">
        <v>32903</v>
      </c>
      <c r="B10" s="8">
        <v>-100000</v>
      </c>
    </row>
    <row r="11" spans="1:2" ht="12.75">
      <c r="A11" s="16">
        <v>33268</v>
      </c>
      <c r="B11" s="8">
        <v>25000</v>
      </c>
    </row>
    <row r="12" spans="1:2" ht="12.75">
      <c r="A12" s="16">
        <v>33633</v>
      </c>
      <c r="B12" s="8">
        <v>30000</v>
      </c>
    </row>
    <row r="13" spans="1:2" ht="12.75">
      <c r="A13" s="16">
        <v>33999</v>
      </c>
      <c r="B13" s="8">
        <v>35000</v>
      </c>
    </row>
    <row r="14" spans="1:2" ht="12.75">
      <c r="A14" s="16">
        <v>34364</v>
      </c>
      <c r="B14" s="8">
        <v>40000</v>
      </c>
    </row>
    <row r="15" spans="1:2" ht="12.75">
      <c r="A15" s="16">
        <v>34729</v>
      </c>
      <c r="B15" s="8">
        <v>45000</v>
      </c>
    </row>
    <row r="16" spans="1:2" ht="12.75">
      <c r="A16" s="16">
        <v>35094</v>
      </c>
      <c r="B16" s="8">
        <v>50000</v>
      </c>
    </row>
    <row r="18" spans="1:2" ht="12.75">
      <c r="A18" s="11" t="s">
        <v>40</v>
      </c>
      <c r="B18" s="3">
        <f>NPV(B7,B11:B16)+B10</f>
        <v>57302.37344353364</v>
      </c>
    </row>
    <row r="19" spans="1:2" ht="12.75">
      <c r="A19" s="1" t="s">
        <v>41</v>
      </c>
      <c r="B19" s="3">
        <f>_XLL.ЧИСТНЗ(B7,B10:B16,A10:A16)</f>
        <v>57273.710570256924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C20"/>
  <sheetViews>
    <sheetView workbookViewId="0" topLeftCell="A2">
      <selection activeCell="B20" sqref="B20"/>
    </sheetView>
  </sheetViews>
  <sheetFormatPr defaultColWidth="9.00390625" defaultRowHeight="12.75"/>
  <cols>
    <col min="1" max="1" width="18.50390625" style="1" customWidth="1"/>
    <col min="2" max="2" width="18.375" style="1" customWidth="1"/>
    <col min="3" max="16384" width="9.375" style="1" customWidth="1"/>
  </cols>
  <sheetData>
    <row r="1" spans="1:3" ht="12.75">
      <c r="A1" s="1" t="s">
        <v>0</v>
      </c>
      <c r="C1" s="1" t="s">
        <v>42</v>
      </c>
    </row>
    <row r="2" ht="12.75">
      <c r="A2" s="1" t="s">
        <v>1</v>
      </c>
    </row>
    <row r="3" ht="12.75">
      <c r="A3" s="1" t="s">
        <v>43</v>
      </c>
    </row>
    <row r="5" ht="15">
      <c r="A5" s="48" t="s">
        <v>44</v>
      </c>
    </row>
    <row r="7" spans="1:2" ht="12.75">
      <c r="A7" s="1" t="s">
        <v>37</v>
      </c>
      <c r="B7" s="8">
        <v>0.1</v>
      </c>
    </row>
    <row r="9" spans="1:2" ht="12.75">
      <c r="A9" s="15" t="s">
        <v>38</v>
      </c>
      <c r="B9" s="15" t="s">
        <v>39</v>
      </c>
    </row>
    <row r="10" spans="1:2" ht="12.75">
      <c r="A10" s="16">
        <v>32903</v>
      </c>
      <c r="B10" s="8">
        <v>-100000</v>
      </c>
    </row>
    <row r="11" spans="1:2" ht="12.75">
      <c r="A11" s="16">
        <v>33268</v>
      </c>
      <c r="B11" s="8">
        <v>25000</v>
      </c>
    </row>
    <row r="12" spans="1:2" ht="12.75">
      <c r="A12" s="16">
        <v>33633</v>
      </c>
      <c r="B12" s="8">
        <v>30000</v>
      </c>
    </row>
    <row r="13" spans="1:2" ht="12.75">
      <c r="A13" s="16">
        <v>33999</v>
      </c>
      <c r="B13" s="8">
        <v>35000</v>
      </c>
    </row>
    <row r="14" spans="1:2" ht="12.75">
      <c r="A14" s="16">
        <v>34364</v>
      </c>
      <c r="B14" s="8">
        <v>40000</v>
      </c>
    </row>
    <row r="15" spans="1:2" ht="12.75">
      <c r="A15" s="16">
        <v>34729</v>
      </c>
      <c r="B15" s="8">
        <v>45000</v>
      </c>
    </row>
    <row r="16" spans="1:2" ht="12.75">
      <c r="A16" s="16">
        <v>35094</v>
      </c>
      <c r="B16" s="8">
        <v>50000</v>
      </c>
    </row>
    <row r="18" spans="1:2" ht="12.75">
      <c r="A18" s="11" t="s">
        <v>40</v>
      </c>
      <c r="B18" s="3">
        <f>NPV(B7,B11:B16)+B10</f>
        <v>57302.37344353364</v>
      </c>
    </row>
    <row r="19" spans="1:2" ht="12.75">
      <c r="A19" s="1" t="s">
        <v>41</v>
      </c>
      <c r="B19" s="3">
        <f>_XLL.ЧИСТНЗ(B7,B10:B16,A10:A16)</f>
        <v>57273.710570256924</v>
      </c>
    </row>
    <row r="20" spans="1:2" ht="12.75">
      <c r="A20" s="11" t="s">
        <v>45</v>
      </c>
      <c r="B20" s="3">
        <f>-B18/B10+1</f>
        <v>1.5730237344353364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C22"/>
  <sheetViews>
    <sheetView workbookViewId="0" topLeftCell="A1">
      <selection activeCell="B22" sqref="B22"/>
    </sheetView>
  </sheetViews>
  <sheetFormatPr defaultColWidth="9.00390625" defaultRowHeight="12.75"/>
  <cols>
    <col min="1" max="1" width="18.50390625" style="1" customWidth="1"/>
    <col min="2" max="2" width="18.375" style="1" customWidth="1"/>
    <col min="3" max="16384" width="9.375" style="1" customWidth="1"/>
  </cols>
  <sheetData>
    <row r="1" spans="1:3" ht="12.75">
      <c r="A1" s="1" t="s">
        <v>0</v>
      </c>
      <c r="C1" s="1" t="s">
        <v>46</v>
      </c>
    </row>
    <row r="2" ht="12.75">
      <c r="A2" s="1" t="s">
        <v>1</v>
      </c>
    </row>
    <row r="3" ht="12.75">
      <c r="A3" s="1" t="s">
        <v>47</v>
      </c>
    </row>
    <row r="5" ht="15">
      <c r="A5" s="48" t="s">
        <v>48</v>
      </c>
    </row>
    <row r="7" spans="1:2" ht="12.75">
      <c r="A7" s="1" t="s">
        <v>37</v>
      </c>
      <c r="B7" s="8">
        <v>0.1</v>
      </c>
    </row>
    <row r="9" spans="1:2" ht="12.75">
      <c r="A9" s="15" t="s">
        <v>38</v>
      </c>
      <c r="B9" s="15" t="s">
        <v>39</v>
      </c>
    </row>
    <row r="10" spans="1:2" ht="12.75">
      <c r="A10" s="16">
        <v>32903</v>
      </c>
      <c r="B10" s="8">
        <v>-100000</v>
      </c>
    </row>
    <row r="11" spans="1:2" ht="12.75">
      <c r="A11" s="16">
        <v>33268</v>
      </c>
      <c r="B11" s="8">
        <v>25000</v>
      </c>
    </row>
    <row r="12" spans="1:2" ht="12.75">
      <c r="A12" s="16">
        <v>33633</v>
      </c>
      <c r="B12" s="8">
        <v>30000</v>
      </c>
    </row>
    <row r="13" spans="1:2" ht="12.75">
      <c r="A13" s="16">
        <v>33999</v>
      </c>
      <c r="B13" s="8">
        <v>35000</v>
      </c>
    </row>
    <row r="14" spans="1:2" ht="12.75">
      <c r="A14" s="16">
        <v>34364</v>
      </c>
      <c r="B14" s="8">
        <v>40000</v>
      </c>
    </row>
    <row r="15" spans="1:2" ht="12.75">
      <c r="A15" s="16">
        <v>34729</v>
      </c>
      <c r="B15" s="8">
        <v>45000</v>
      </c>
    </row>
    <row r="16" spans="1:2" ht="12.75">
      <c r="A16" s="16">
        <v>35094</v>
      </c>
      <c r="B16" s="8">
        <v>50000</v>
      </c>
    </row>
    <row r="18" spans="1:2" ht="12.75">
      <c r="A18" s="11" t="s">
        <v>40</v>
      </c>
      <c r="B18" s="3">
        <f>NPV(B7,B11:B16)+B10</f>
        <v>57302.37344353364</v>
      </c>
    </row>
    <row r="19" spans="1:2" ht="12.75">
      <c r="A19" s="1" t="s">
        <v>41</v>
      </c>
      <c r="B19" s="3">
        <f>_XLL.ЧИСТНЗ(B7,B10:B16,A10:A16)</f>
        <v>57273.710570256924</v>
      </c>
    </row>
    <row r="20" spans="1:2" ht="12.75">
      <c r="A20" s="11" t="s">
        <v>45</v>
      </c>
      <c r="B20" s="3">
        <f>-B18/B10+1</f>
        <v>1.5730237344353364</v>
      </c>
    </row>
    <row r="21" spans="1:2" ht="12.75">
      <c r="A21" s="11" t="s">
        <v>49</v>
      </c>
      <c r="B21" s="17">
        <f>IRR(B10:B16)</f>
        <v>0.25519310712285015</v>
      </c>
    </row>
    <row r="22" spans="1:2" ht="12.75">
      <c r="A22" s="1" t="s">
        <v>50</v>
      </c>
      <c r="B22" s="17">
        <f>_XLL.ЧИСТВНДОХ(B10:B16,A10:A16)</f>
        <v>0.25504615902900685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C23"/>
  <sheetViews>
    <sheetView workbookViewId="0" topLeftCell="A1">
      <selection activeCell="A5" sqref="A5"/>
    </sheetView>
  </sheetViews>
  <sheetFormatPr defaultColWidth="9.00390625" defaultRowHeight="12.75"/>
  <cols>
    <col min="1" max="1" width="20.50390625" style="1" customWidth="1"/>
    <col min="2" max="2" width="18.375" style="1" customWidth="1"/>
    <col min="3" max="16384" width="9.375" style="1" customWidth="1"/>
  </cols>
  <sheetData>
    <row r="1" spans="1:3" ht="12.75">
      <c r="A1" s="1" t="s">
        <v>0</v>
      </c>
      <c r="C1" s="1" t="s">
        <v>128</v>
      </c>
    </row>
    <row r="2" ht="12.75">
      <c r="A2" s="1" t="s">
        <v>1</v>
      </c>
    </row>
    <row r="3" ht="12.75">
      <c r="A3" s="1" t="s">
        <v>51</v>
      </c>
    </row>
    <row r="4" ht="6.75" customHeight="1"/>
    <row r="5" ht="15">
      <c r="A5" s="48" t="s">
        <v>52</v>
      </c>
    </row>
    <row r="6" ht="5.25" customHeight="1"/>
    <row r="7" spans="1:2" ht="12.75">
      <c r="A7" s="1" t="s">
        <v>37</v>
      </c>
      <c r="B7" s="8">
        <v>0.1</v>
      </c>
    </row>
    <row r="8" spans="1:2" ht="12.75">
      <c r="A8" s="18" t="s">
        <v>62</v>
      </c>
      <c r="B8" s="8">
        <v>0.08</v>
      </c>
    </row>
    <row r="9" spans="1:2" ht="12.75">
      <c r="A9" s="15" t="s">
        <v>38</v>
      </c>
      <c r="B9" s="15" t="s">
        <v>39</v>
      </c>
    </row>
    <row r="10" spans="1:2" ht="12.75">
      <c r="A10" s="16">
        <v>32903</v>
      </c>
      <c r="B10" s="8">
        <v>-100000</v>
      </c>
    </row>
    <row r="11" spans="1:2" ht="12.75">
      <c r="A11" s="16">
        <v>33268</v>
      </c>
      <c r="B11" s="8">
        <v>25000</v>
      </c>
    </row>
    <row r="12" spans="1:2" ht="12.75">
      <c r="A12" s="16">
        <v>33633</v>
      </c>
      <c r="B12" s="8">
        <v>30000</v>
      </c>
    </row>
    <row r="13" spans="1:2" ht="12.75">
      <c r="A13" s="16">
        <v>33999</v>
      </c>
      <c r="B13" s="8">
        <v>35000</v>
      </c>
    </row>
    <row r="14" spans="1:2" ht="12.75">
      <c r="A14" s="16">
        <v>34364</v>
      </c>
      <c r="B14" s="8">
        <v>40000</v>
      </c>
    </row>
    <row r="15" spans="1:2" ht="12.75">
      <c r="A15" s="16">
        <v>34729</v>
      </c>
      <c r="B15" s="8">
        <v>45000</v>
      </c>
    </row>
    <row r="16" spans="1:2" ht="12.75">
      <c r="A16" s="16">
        <v>35094</v>
      </c>
      <c r="B16" s="8">
        <v>50000</v>
      </c>
    </row>
    <row r="17" ht="6.75" customHeight="1"/>
    <row r="18" spans="1:2" ht="12.75">
      <c r="A18" s="11" t="s">
        <v>40</v>
      </c>
      <c r="B18" s="14">
        <f>NPV(B7,B11:B16)+B10</f>
        <v>57302.37344353364</v>
      </c>
    </row>
    <row r="19" spans="1:2" ht="12.75">
      <c r="A19" s="1" t="s">
        <v>41</v>
      </c>
      <c r="B19" s="14">
        <f>_XLL.ЧИСТНЗ(B7,B10:B16,A10:A16)</f>
        <v>57273.710570256924</v>
      </c>
    </row>
    <row r="20" spans="1:2" ht="12.75">
      <c r="A20" s="11" t="s">
        <v>45</v>
      </c>
      <c r="B20" s="3">
        <f>-B18/B10+1</f>
        <v>1.5730237344353364</v>
      </c>
    </row>
    <row r="21" spans="1:2" ht="12.75">
      <c r="A21" s="11" t="s">
        <v>49</v>
      </c>
      <c r="B21" s="17">
        <f>IRR(B10:B16)</f>
        <v>0.25519310712285015</v>
      </c>
    </row>
    <row r="22" spans="1:2" ht="12.75">
      <c r="A22" s="1" t="s">
        <v>50</v>
      </c>
      <c r="B22" s="17">
        <f>_XLL.ЧИСТВНДОХ(B10:B16,A10:A16)</f>
        <v>0.25504615902900685</v>
      </c>
    </row>
    <row r="23" spans="1:2" ht="12.75">
      <c r="A23" s="11" t="s">
        <v>53</v>
      </c>
      <c r="B23" s="17">
        <f>MIRR(B10:B16,B7,B8)</f>
        <v>0.17775894585396101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C57"/>
  <sheetViews>
    <sheetView workbookViewId="0" topLeftCell="A1">
      <selection activeCell="B16" sqref="B16"/>
    </sheetView>
  </sheetViews>
  <sheetFormatPr defaultColWidth="9.00390625" defaultRowHeight="12.75"/>
  <cols>
    <col min="1" max="1" width="11.125" style="1" customWidth="1"/>
    <col min="2" max="2" width="13.00390625" style="1" customWidth="1"/>
    <col min="3" max="16384" width="9.375" style="1" customWidth="1"/>
  </cols>
  <sheetData>
    <row r="1" spans="1:3" ht="12.75">
      <c r="A1" s="1" t="s">
        <v>0</v>
      </c>
      <c r="C1" s="1" t="s">
        <v>129</v>
      </c>
    </row>
    <row r="2" ht="12.75">
      <c r="A2" s="1" t="s">
        <v>1</v>
      </c>
    </row>
    <row r="3" ht="12.75">
      <c r="A3" s="1" t="s">
        <v>54</v>
      </c>
    </row>
    <row r="5" spans="1:2" ht="12.75">
      <c r="A5" s="1" t="s">
        <v>55</v>
      </c>
      <c r="B5" s="19">
        <v>0.1</v>
      </c>
    </row>
    <row r="7" spans="1:2" ht="12.75">
      <c r="A7" s="15" t="s">
        <v>56</v>
      </c>
      <c r="B7" s="15" t="s">
        <v>39</v>
      </c>
    </row>
    <row r="8" spans="1:2" ht="12.75">
      <c r="A8" s="8">
        <v>0</v>
      </c>
      <c r="B8" s="8">
        <v>-1600</v>
      </c>
    </row>
    <row r="9" spans="1:2" ht="12.75">
      <c r="A9" s="8">
        <v>1</v>
      </c>
      <c r="B9" s="8">
        <v>10000</v>
      </c>
    </row>
    <row r="10" spans="1:2" ht="12.75">
      <c r="A10" s="8">
        <v>2</v>
      </c>
      <c r="B10" s="8">
        <v>-10000</v>
      </c>
    </row>
    <row r="12" spans="1:2" ht="12.75">
      <c r="A12" s="1" t="s">
        <v>57</v>
      </c>
      <c r="B12" s="20">
        <f>B8+NPV(B5,B9:B10)</f>
        <v>-773.5537190082638</v>
      </c>
    </row>
    <row r="13" spans="1:2" ht="12.75">
      <c r="A13" s="1" t="s">
        <v>58</v>
      </c>
      <c r="B13" s="17">
        <f>IRR(B8:B10)</f>
        <v>0.24999999999979977</v>
      </c>
    </row>
    <row r="15" spans="1:2" ht="12.75">
      <c r="A15" s="21">
        <v>0.1</v>
      </c>
      <c r="B15" s="1">
        <v>-773.55</v>
      </c>
    </row>
    <row r="16" spans="1:2" ht="12.75">
      <c r="A16" s="21">
        <v>0.2</v>
      </c>
      <c r="B16" s="20">
        <f>B8+NPV(A16,B9:B10)</f>
        <v>-211.11111111111154</v>
      </c>
    </row>
    <row r="17" spans="1:2" ht="12.75">
      <c r="A17" s="21">
        <v>0.3</v>
      </c>
      <c r="B17" s="20">
        <f>B8+NPV(A17,B9:B10)</f>
        <v>175.1479289940828</v>
      </c>
    </row>
    <row r="18" spans="1:2" ht="12.75">
      <c r="A18" s="21">
        <v>0.4</v>
      </c>
      <c r="B18" s="20">
        <f>B8+NPV(A18,B9:B10)</f>
        <v>440.8163265306123</v>
      </c>
    </row>
    <row r="19" spans="1:2" ht="12.75">
      <c r="A19" s="21">
        <v>0.5</v>
      </c>
      <c r="B19" s="20">
        <f>B8+NPV(A19,B9:B10)</f>
        <v>622.2222222222222</v>
      </c>
    </row>
    <row r="20" spans="1:2" ht="12.75">
      <c r="A20" s="21">
        <v>0.6</v>
      </c>
      <c r="B20" s="20">
        <f>B8+NPV(A20,B9:B10)</f>
        <v>743.75</v>
      </c>
    </row>
    <row r="21" spans="1:2" ht="12.75">
      <c r="A21" s="21">
        <v>0.7</v>
      </c>
      <c r="B21" s="20">
        <f>B8+NPV(A21,B9:B10)</f>
        <v>822.1453287197228</v>
      </c>
    </row>
    <row r="22" spans="1:2" ht="12.75">
      <c r="A22" s="21">
        <v>0.8</v>
      </c>
      <c r="B22" s="20">
        <f>B8+NPV(A22,B9:B10)</f>
        <v>869.1358024691358</v>
      </c>
    </row>
    <row r="23" spans="1:2" ht="12.75">
      <c r="A23" s="21">
        <v>0.9</v>
      </c>
      <c r="B23" s="20">
        <f>B8+NPV(A23,B9:B10)</f>
        <v>893.0747922437672</v>
      </c>
    </row>
    <row r="24" spans="1:2" ht="12.75">
      <c r="A24" s="21">
        <v>1</v>
      </c>
      <c r="B24" s="20">
        <f>B8+NPV(A24,B9:B10)</f>
        <v>900</v>
      </c>
    </row>
    <row r="25" spans="1:2" ht="12.75">
      <c r="A25" s="21">
        <v>1.1</v>
      </c>
      <c r="B25" s="20">
        <f>B8+NPV(A25,B9:B10)</f>
        <v>894.3310657596371</v>
      </c>
    </row>
    <row r="26" spans="1:2" ht="12.75">
      <c r="A26" s="21">
        <v>1.2</v>
      </c>
      <c r="B26" s="20">
        <f>B8+NPV(A26,B9:B10)</f>
        <v>879.3388429752067</v>
      </c>
    </row>
    <row r="27" spans="1:2" ht="12.75">
      <c r="A27" s="21">
        <v>1.3</v>
      </c>
      <c r="B27" s="20">
        <f>B8+NPV(A27,B9:B10)</f>
        <v>857.466918714556</v>
      </c>
    </row>
    <row r="28" spans="1:2" ht="12.75">
      <c r="A28" s="21">
        <v>1.4</v>
      </c>
      <c r="B28" s="20">
        <f>B8+NPV(A28,B9:B10)</f>
        <v>830.5555555555557</v>
      </c>
    </row>
    <row r="29" spans="1:2" ht="12.75">
      <c r="A29" s="21">
        <v>1.5</v>
      </c>
      <c r="B29" s="20">
        <f>B8+NPV(A29,B9:B10)</f>
        <v>800</v>
      </c>
    </row>
    <row r="30" spans="1:2" ht="12.75">
      <c r="A30" s="21">
        <v>1.6</v>
      </c>
      <c r="B30" s="20">
        <f>B8+NPV(A30,B9:B10)</f>
        <v>766.8639053254437</v>
      </c>
    </row>
    <row r="31" spans="1:2" ht="12.75">
      <c r="A31" s="21">
        <v>1.7</v>
      </c>
      <c r="B31" s="20">
        <f>B8+NPV(A31,B9:B10)</f>
        <v>731.9615912208506</v>
      </c>
    </row>
    <row r="32" spans="1:2" ht="12.75">
      <c r="A32" s="21">
        <v>1.8</v>
      </c>
      <c r="B32" s="20">
        <f>B8+NPV(A32,B9:B10)</f>
        <v>695.9183673469388</v>
      </c>
    </row>
    <row r="33" spans="1:2" ht="12.75">
      <c r="A33" s="21">
        <v>1.9</v>
      </c>
      <c r="B33" s="20">
        <f>B8+NPV(A33,B9:B10)</f>
        <v>659.215219976219</v>
      </c>
    </row>
    <row r="34" spans="1:2" ht="12.75">
      <c r="A34" s="21">
        <v>2</v>
      </c>
      <c r="B34" s="20">
        <f>$B$8+NPV(A34,$B$9:$B$10)</f>
        <v>622.2222222222222</v>
      </c>
    </row>
    <row r="35" spans="1:2" ht="12.75">
      <c r="A35" s="21">
        <v>2.1</v>
      </c>
      <c r="B35" s="20">
        <f aca="true" t="shared" si="0" ref="B35:B50">$B$8+NPV(A35,$B$9:$B$10)</f>
        <v>585.2237252861601</v>
      </c>
    </row>
    <row r="36" spans="1:2" ht="12.75">
      <c r="A36" s="21">
        <v>2.2</v>
      </c>
      <c r="B36" s="20">
        <f t="shared" si="0"/>
        <v>548.4375</v>
      </c>
    </row>
    <row r="37" spans="1:2" ht="12.75">
      <c r="A37" s="21">
        <v>2.3</v>
      </c>
      <c r="B37" s="20">
        <f t="shared" si="0"/>
        <v>512.0293847566577</v>
      </c>
    </row>
    <row r="38" spans="1:2" ht="12.75">
      <c r="A38" s="21">
        <v>2.4</v>
      </c>
      <c r="B38" s="20">
        <f t="shared" si="0"/>
        <v>476.1245674740485</v>
      </c>
    </row>
    <row r="39" spans="1:2" ht="12.75">
      <c r="A39" s="21">
        <v>2.5</v>
      </c>
      <c r="B39" s="20">
        <f t="shared" si="0"/>
        <v>440.8163265306123</v>
      </c>
    </row>
    <row r="40" spans="1:2" ht="12.75">
      <c r="A40" s="21">
        <v>2.6</v>
      </c>
      <c r="B40" s="20">
        <f t="shared" si="0"/>
        <v>406.172839506173</v>
      </c>
    </row>
    <row r="41" spans="1:2" ht="12.75">
      <c r="A41" s="21">
        <v>2.7</v>
      </c>
      <c r="B41" s="20">
        <f t="shared" si="0"/>
        <v>372.24251278305337</v>
      </c>
    </row>
    <row r="42" spans="1:2" ht="12.75">
      <c r="A42" s="21">
        <v>2.8</v>
      </c>
      <c r="B42" s="20">
        <f t="shared" si="0"/>
        <v>339.0581717451523</v>
      </c>
    </row>
    <row r="43" spans="1:2" ht="12.75">
      <c r="A43" s="21">
        <v>2.9</v>
      </c>
      <c r="B43" s="20">
        <f t="shared" si="0"/>
        <v>306.6403681788297</v>
      </c>
    </row>
    <row r="44" spans="1:2" ht="12.75">
      <c r="A44" s="21">
        <v>3</v>
      </c>
      <c r="B44" s="20">
        <f t="shared" si="0"/>
        <v>275</v>
      </c>
    </row>
    <row r="45" spans="1:2" ht="12.75">
      <c r="A45" s="21">
        <v>3.1</v>
      </c>
      <c r="B45" s="20">
        <f t="shared" si="0"/>
        <v>244.1403926234384</v>
      </c>
    </row>
    <row r="46" spans="1:2" ht="12.75">
      <c r="A46" s="21">
        <v>3.2</v>
      </c>
      <c r="B46" s="20">
        <f t="shared" si="0"/>
        <v>214.05895691609976</v>
      </c>
    </row>
    <row r="47" spans="1:2" ht="12.75">
      <c r="A47" s="21">
        <v>3.3</v>
      </c>
      <c r="B47" s="20">
        <f t="shared" si="0"/>
        <v>184.74851270957265</v>
      </c>
    </row>
    <row r="48" spans="1:2" ht="12.75">
      <c r="A48" s="21">
        <v>3.4</v>
      </c>
      <c r="B48" s="20">
        <f t="shared" si="0"/>
        <v>156.19834710743794</v>
      </c>
    </row>
    <row r="49" spans="1:2" ht="12.75">
      <c r="A49" s="21">
        <v>3.5</v>
      </c>
      <c r="B49" s="20">
        <f t="shared" si="0"/>
        <v>128.39506172839492</v>
      </c>
    </row>
    <row r="50" spans="1:2" ht="12.75">
      <c r="A50" s="21">
        <v>3.6</v>
      </c>
      <c r="B50" s="20">
        <f t="shared" si="0"/>
        <v>101.32325141776937</v>
      </c>
    </row>
    <row r="51" spans="1:2" ht="12.75">
      <c r="A51" s="21">
        <v>3.7</v>
      </c>
      <c r="B51" s="20">
        <f aca="true" t="shared" si="1" ref="B51:B57">$B$8+NPV(A51,$B$9:$B$10)</f>
        <v>74.9660479855138</v>
      </c>
    </row>
    <row r="52" spans="1:2" ht="12.75">
      <c r="A52" s="21">
        <v>3.8</v>
      </c>
      <c r="B52" s="20">
        <f t="shared" si="1"/>
        <v>49.30555555555543</v>
      </c>
    </row>
    <row r="53" spans="1:2" ht="12.75">
      <c r="A53" s="21">
        <v>3.9</v>
      </c>
      <c r="B53" s="20">
        <f t="shared" si="1"/>
        <v>24.32319866722196</v>
      </c>
    </row>
    <row r="54" spans="1:2" ht="12.75">
      <c r="A54" s="21">
        <v>4</v>
      </c>
      <c r="B54" s="20">
        <f t="shared" si="1"/>
        <v>0</v>
      </c>
    </row>
    <row r="55" spans="1:2" ht="12.75">
      <c r="A55" s="21">
        <v>4.1</v>
      </c>
      <c r="B55" s="20">
        <f t="shared" si="1"/>
        <v>-23.68319876970395</v>
      </c>
    </row>
    <row r="56" spans="1:2" ht="12.75">
      <c r="A56" s="21">
        <v>4.2</v>
      </c>
      <c r="B56" s="20">
        <f t="shared" si="1"/>
        <v>-46.74556213017763</v>
      </c>
    </row>
    <row r="57" spans="1:2" ht="12.75">
      <c r="A57" s="21">
        <v>4.3</v>
      </c>
      <c r="B57" s="20">
        <f t="shared" si="1"/>
        <v>-69.20612317550717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B22"/>
  <sheetViews>
    <sheetView workbookViewId="0" topLeftCell="A1">
      <selection activeCell="A5" sqref="A5"/>
    </sheetView>
  </sheetViews>
  <sheetFormatPr defaultColWidth="9.00390625" defaultRowHeight="12.75"/>
  <cols>
    <col min="1" max="1" width="22.875" style="1" customWidth="1"/>
    <col min="2" max="2" width="18.375" style="1" customWidth="1"/>
    <col min="3" max="16384" width="9.375" style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1" t="s">
        <v>130</v>
      </c>
      <c r="B3" s="1" t="s">
        <v>59</v>
      </c>
    </row>
    <row r="5" ht="15">
      <c r="A5" s="48" t="s">
        <v>59</v>
      </c>
    </row>
    <row r="7" spans="1:2" ht="12.75">
      <c r="A7" s="12" t="s">
        <v>60</v>
      </c>
      <c r="B7" s="8">
        <v>0.1</v>
      </c>
    </row>
    <row r="8" spans="1:2" ht="12.75">
      <c r="A8" s="12" t="s">
        <v>61</v>
      </c>
      <c r="B8" s="8">
        <v>6</v>
      </c>
    </row>
    <row r="9" spans="1:2" ht="12.75">
      <c r="A9" s="12" t="s">
        <v>62</v>
      </c>
      <c r="B9" s="8">
        <v>0.1</v>
      </c>
    </row>
    <row r="11" spans="1:2" ht="12.75">
      <c r="A11" s="15" t="s">
        <v>38</v>
      </c>
      <c r="B11" s="15" t="s">
        <v>39</v>
      </c>
    </row>
    <row r="12" spans="1:2" ht="12.75">
      <c r="A12" s="16">
        <v>32903</v>
      </c>
      <c r="B12" s="8">
        <v>-1000</v>
      </c>
    </row>
    <row r="13" spans="1:2" ht="12.75">
      <c r="A13" s="16">
        <v>33268</v>
      </c>
      <c r="B13" s="8">
        <v>-100</v>
      </c>
    </row>
    <row r="14" spans="1:2" ht="12.75">
      <c r="A14" s="16">
        <v>33633</v>
      </c>
      <c r="B14" s="8">
        <v>700</v>
      </c>
    </row>
    <row r="15" spans="1:2" ht="12.75">
      <c r="A15" s="16">
        <v>33999</v>
      </c>
      <c r="B15" s="8">
        <v>600</v>
      </c>
    </row>
    <row r="16" spans="1:2" ht="12.75">
      <c r="A16" s="16">
        <v>34364</v>
      </c>
      <c r="B16" s="8">
        <v>400</v>
      </c>
    </row>
    <row r="17" spans="1:2" ht="12.75">
      <c r="A17" s="16">
        <v>34729</v>
      </c>
      <c r="B17" s="8">
        <v>150</v>
      </c>
    </row>
    <row r="19" spans="1:2" ht="12.75">
      <c r="A19" s="10" t="s">
        <v>41</v>
      </c>
      <c r="B19" s="6">
        <f>_XLL.ЧИСТНЗ(Норма_дисконта,Платежи,Даты)</f>
        <v>304.5224220696437</v>
      </c>
    </row>
    <row r="20" spans="1:2" ht="12.75">
      <c r="A20" s="10" t="s">
        <v>45</v>
      </c>
      <c r="B20" s="3">
        <f>-ЧСС/Инвест+1</f>
        <v>1.6</v>
      </c>
    </row>
    <row r="21" spans="1:2" ht="12.75">
      <c r="A21" s="10" t="s">
        <v>53</v>
      </c>
      <c r="B21" s="17">
        <f>MIRR(Платежи,Норма_дисконта,Ставка_реинвест)</f>
        <v>0.15555323291975998</v>
      </c>
    </row>
    <row r="22" spans="1:2" ht="12.75">
      <c r="A22" s="1" t="s">
        <v>50</v>
      </c>
      <c r="B22" s="17">
        <f>_XLL.ЧИСТВНДОХ(Платежи,Даты)</f>
        <v>0.20115393996238706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UVD 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nata_gus</cp:lastModifiedBy>
  <dcterms:created xsi:type="dcterms:W3CDTF">2000-02-14T13:17:37Z</dcterms:created>
  <dcterms:modified xsi:type="dcterms:W3CDTF">2008-03-14T10:47:02Z</dcterms:modified>
  <cp:category/>
  <cp:version/>
  <cp:contentType/>
  <cp:contentStatus/>
</cp:coreProperties>
</file>