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8_3.bin" ContentType="application/vnd.openxmlformats-officedocument.oleObject"/>
  <Override PartName="/xl/embeddings/oleObject_8_4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2_2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5_0.bin" ContentType="application/vnd.openxmlformats-officedocument.oleObject"/>
  <Override PartName="/xl/embeddings/oleObject_15_1.bin" ContentType="application/vnd.openxmlformats-officedocument.oleObject"/>
  <Override PartName="/xl/embeddings/oleObject_15_2.bin" ContentType="application/vnd.openxmlformats-officedocument.oleObject"/>
  <Override PartName="/xl/embeddings/oleObject_15_3.bin" ContentType="application/vnd.openxmlformats-officedocument.oleObject"/>
  <Override PartName="/xl/embeddings/oleObject_15_4.bin" ContentType="application/vnd.openxmlformats-officedocument.oleObject"/>
  <Override PartName="/xl/embeddings/oleObject_15_5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  <Override PartName="/xl/embeddings/oleObject_17_4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18_2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19_2.bin" ContentType="application/vnd.openxmlformats-officedocument.oleObject"/>
  <Override PartName="/xl/embeddings/oleObject_19_3.bin" ContentType="application/vnd.openxmlformats-officedocument.oleObject"/>
  <Override PartName="/xl/embeddings/oleObject_20_0.bin" ContentType="application/vnd.openxmlformats-officedocument.oleObject"/>
  <Override PartName="/xl/embeddings/oleObject_20_1.bin" ContentType="application/vnd.openxmlformats-officedocument.oleObject"/>
  <Override PartName="/xl/embeddings/oleObject_20_2.bin" ContentType="application/vnd.openxmlformats-officedocument.oleObject"/>
  <Override PartName="/xl/embeddings/oleObject_21_0.bin" ContentType="application/vnd.openxmlformats-officedocument.oleObject"/>
  <Override PartName="/xl/embeddings/oleObject_2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555" tabRatio="783" activeTab="1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definedNames/>
  <calcPr fullCalcOnLoad="1"/>
</workbook>
</file>

<file path=xl/sharedStrings.xml><?xml version="1.0" encoding="utf-8"?>
<sst xmlns="http://schemas.openxmlformats.org/spreadsheetml/2006/main" count="539" uniqueCount="343">
  <si>
    <t>Бизнес план или как организовать собственный бизнес</t>
  </si>
  <si>
    <t>Площадь арендуемая под офис</t>
  </si>
  <si>
    <t>П</t>
  </si>
  <si>
    <t>кв.м.</t>
  </si>
  <si>
    <t>Арендная плата :</t>
  </si>
  <si>
    <t>Минимальный уровень зараб.платы в РФ</t>
  </si>
  <si>
    <r>
      <t>З</t>
    </r>
    <r>
      <rPr>
        <sz val="8"/>
        <rFont val="Arial Cyr"/>
        <family val="2"/>
      </rPr>
      <t>min</t>
    </r>
  </si>
  <si>
    <t>руб.</t>
  </si>
  <si>
    <t>Коэффициент привидения</t>
  </si>
  <si>
    <r>
      <t>К</t>
    </r>
    <r>
      <rPr>
        <sz val="8"/>
        <rFont val="Arial Cyr"/>
        <family val="2"/>
      </rPr>
      <t>пр</t>
    </r>
  </si>
  <si>
    <t>Коэффициент размещения (1 этаж)</t>
  </si>
  <si>
    <r>
      <t>К</t>
    </r>
    <r>
      <rPr>
        <sz val="8"/>
        <rFont val="Arial Cyr"/>
        <family val="2"/>
      </rPr>
      <t>разн</t>
    </r>
  </si>
  <si>
    <t>Коэффициент благоустройства помещения</t>
  </si>
  <si>
    <r>
      <t>К</t>
    </r>
    <r>
      <rPr>
        <sz val="8"/>
        <rFont val="Arial Cyr"/>
        <family val="2"/>
      </rPr>
      <t>бл</t>
    </r>
  </si>
  <si>
    <t>Коэффициент территориальности</t>
  </si>
  <si>
    <r>
      <t>К</t>
    </r>
    <r>
      <rPr>
        <sz val="8"/>
        <rFont val="Arial Cyr"/>
        <family val="2"/>
      </rPr>
      <t>тер</t>
    </r>
  </si>
  <si>
    <t>Кол-во дней в году</t>
  </si>
  <si>
    <t>Nдн</t>
  </si>
  <si>
    <t>дней</t>
  </si>
  <si>
    <t>Кол-во воскресных выходных дней в году</t>
  </si>
  <si>
    <t>Вдн</t>
  </si>
  <si>
    <t>Кол-во праздничных дней за год</t>
  </si>
  <si>
    <t>Пдн</t>
  </si>
  <si>
    <t>Эффективный фонд рабочего времени :</t>
  </si>
  <si>
    <t>Время, отводимое на ремонт оборудования в год :</t>
  </si>
  <si>
    <t>Номинальный фонд рабочего времени :</t>
  </si>
  <si>
    <t>При 6-ти дневной недели (работа через день) Nдн =</t>
  </si>
  <si>
    <t>ч</t>
  </si>
  <si>
    <t>Отсюда за март - апрель</t>
  </si>
  <si>
    <t>Производительность и мощность необходимого оборудования</t>
  </si>
  <si>
    <t>№ пп</t>
  </si>
  <si>
    <t>Наименование</t>
  </si>
  <si>
    <t>Кол-во ПВО, шт.</t>
  </si>
  <si>
    <t>Производ. единицы в час</t>
  </si>
  <si>
    <t>Годовой фонт эффек. рабочего времени, час</t>
  </si>
  <si>
    <t>Мощность годовая, м</t>
  </si>
  <si>
    <t>Мощность предприятия за период :</t>
  </si>
  <si>
    <t>n</t>
  </si>
  <si>
    <r>
      <t>П</t>
    </r>
    <r>
      <rPr>
        <sz val="8"/>
        <rFont val="Arial Cyr"/>
        <family val="2"/>
      </rPr>
      <t>р</t>
    </r>
  </si>
  <si>
    <r>
      <t>Ф</t>
    </r>
    <r>
      <rPr>
        <sz val="8"/>
        <rFont val="Arial Cyr"/>
        <family val="2"/>
      </rPr>
      <t>эф</t>
    </r>
  </si>
  <si>
    <r>
      <t>Мi=n</t>
    </r>
    <r>
      <rPr>
        <sz val="8"/>
        <rFont val="Arial Cyr"/>
        <family val="2"/>
      </rPr>
      <t>х</t>
    </r>
    <r>
      <rPr>
        <sz val="10"/>
        <rFont val="Arial Cyr"/>
        <family val="0"/>
      </rPr>
      <t>П</t>
    </r>
    <r>
      <rPr>
        <sz val="8"/>
        <rFont val="Arial Cyr"/>
        <family val="2"/>
      </rPr>
      <t>рх</t>
    </r>
    <r>
      <rPr>
        <sz val="10"/>
        <rFont val="Arial Cyr"/>
        <family val="0"/>
      </rPr>
      <t>Ф</t>
    </r>
    <r>
      <rPr>
        <sz val="8"/>
        <rFont val="Arial Cyr"/>
        <family val="2"/>
      </rPr>
      <t>эф</t>
    </r>
  </si>
  <si>
    <t>Шаровая мельница, кг</t>
  </si>
  <si>
    <t>кг в год</t>
  </si>
  <si>
    <t>Сушильный барабан, кг</t>
  </si>
  <si>
    <t>Весовой питатель, кг</t>
  </si>
  <si>
    <t>кг</t>
  </si>
  <si>
    <t>Смеситель СМК -125, кг</t>
  </si>
  <si>
    <t>Сушилка НЦ - 12, кв.м</t>
  </si>
  <si>
    <t>кв.м в год</t>
  </si>
  <si>
    <t>Центробежный распылитель глазури</t>
  </si>
  <si>
    <t>Штампы с пресс формами, ед.</t>
  </si>
  <si>
    <t>Печь муфельная для обжига и сушки, кв.м</t>
  </si>
  <si>
    <t>шт. в год</t>
  </si>
  <si>
    <t>шт.</t>
  </si>
  <si>
    <t>Производство продукции за март - апрель</t>
  </si>
  <si>
    <t>Кол.во, шт.</t>
  </si>
  <si>
    <t>Цена за ед., тыс.руб.</t>
  </si>
  <si>
    <t>Всего, тыс.руб.</t>
  </si>
  <si>
    <t>Вес ед. изделия, кг</t>
  </si>
  <si>
    <t>Всего</t>
  </si>
  <si>
    <t>Чистый вес, кг</t>
  </si>
  <si>
    <t>В</t>
  </si>
  <si>
    <t>Ц</t>
  </si>
  <si>
    <t>ВхЦ</t>
  </si>
  <si>
    <t>Р</t>
  </si>
  <si>
    <t>ВхР</t>
  </si>
  <si>
    <t>ВхРх1,4</t>
  </si>
  <si>
    <t>Плитка каменная</t>
  </si>
  <si>
    <t>Медали, монеты сувенирные</t>
  </si>
  <si>
    <t>Кувшин фарфоровый</t>
  </si>
  <si>
    <t>Амфора керамическая</t>
  </si>
  <si>
    <t>Полотно керамическое, 2 компл.из сост. частей</t>
  </si>
  <si>
    <t>Часы солнечные, 7 компл. из сост.частей, кв.м</t>
  </si>
  <si>
    <t>Фонтан офисный</t>
  </si>
  <si>
    <t>ИТОГО :</t>
  </si>
  <si>
    <t>необходи-мость сырья, кг</t>
  </si>
  <si>
    <t>и односменной работе продолжительностью Р</t>
  </si>
  <si>
    <t>Для индивидуального производства :</t>
  </si>
  <si>
    <t>Потребность в сырье и материалах для выпуска 1-ой партии продукции</t>
  </si>
  <si>
    <t>Кол-во</t>
  </si>
  <si>
    <t>Цена</t>
  </si>
  <si>
    <t>Всего, руб.</t>
  </si>
  <si>
    <t>К</t>
  </si>
  <si>
    <t>К*Ц</t>
  </si>
  <si>
    <t>Каолин, ГОСТ 21286-82, кг</t>
  </si>
  <si>
    <t>Глина веселовская, ВГО, ТУ-21-25-203-81</t>
  </si>
  <si>
    <t>Песок кварцевый ГОСТ 7031-75, 22551-77</t>
  </si>
  <si>
    <t>Полевой шпат, ГОСТ 15045-78, кг</t>
  </si>
  <si>
    <t>Бой обожженный (брак собственного производства)</t>
  </si>
  <si>
    <t>Жидкое стекло, ГОСТ 13078-81, кг</t>
  </si>
  <si>
    <t>Сода, ГОСТ 5100-85, кг</t>
  </si>
  <si>
    <t>Глазурь-фитта, 21а, В1С ДМ-2, ЛГ-19 В9</t>
  </si>
  <si>
    <t>Пигменты-красители, кг</t>
  </si>
  <si>
    <t>Всего основных материалов :</t>
  </si>
  <si>
    <t>Масло трансформаторное, кг</t>
  </si>
  <si>
    <t>Гипс, кг</t>
  </si>
  <si>
    <t>Всего вспомогательных материалов :</t>
  </si>
  <si>
    <t>Итого :</t>
  </si>
  <si>
    <t>Численность производственного персонала и уровень предполагаемой зарплаты в марте-апреле на предприятии</t>
  </si>
  <si>
    <t>Специальность</t>
  </si>
  <si>
    <t>Число работников, чел.</t>
  </si>
  <si>
    <t>Тарифная ставка, руб./чел.</t>
  </si>
  <si>
    <t>Фонд рабочего времени,час</t>
  </si>
  <si>
    <r>
      <t>Всего, руб.               Ф</t>
    </r>
    <r>
      <rPr>
        <sz val="8"/>
        <rFont val="Arial Cyr"/>
        <family val="2"/>
      </rPr>
      <t>пр</t>
    </r>
  </si>
  <si>
    <t>март</t>
  </si>
  <si>
    <t>апрель</t>
  </si>
  <si>
    <r>
      <t>Т</t>
    </r>
    <r>
      <rPr>
        <sz val="8"/>
        <rFont val="Arial Cyr"/>
        <family val="2"/>
      </rPr>
      <t>ст</t>
    </r>
  </si>
  <si>
    <r>
      <t>Ф</t>
    </r>
    <r>
      <rPr>
        <sz val="8"/>
        <rFont val="Arial Cyr"/>
        <family val="2"/>
      </rPr>
      <t>1</t>
    </r>
  </si>
  <si>
    <r>
      <t>Ф</t>
    </r>
    <r>
      <rPr>
        <sz val="8"/>
        <rFont val="Arial Cyr"/>
        <family val="2"/>
      </rPr>
      <t>2</t>
    </r>
  </si>
  <si>
    <r>
      <t>Т</t>
    </r>
    <r>
      <rPr>
        <sz val="8"/>
        <rFont val="Arial Cyr"/>
        <family val="2"/>
      </rPr>
      <t>стх</t>
    </r>
    <r>
      <rPr>
        <sz val="10"/>
        <rFont val="Arial Cyr"/>
        <family val="0"/>
      </rPr>
      <t>Ф</t>
    </r>
    <r>
      <rPr>
        <sz val="8"/>
        <rFont val="Arial Cyr"/>
        <family val="2"/>
      </rPr>
      <t>1</t>
    </r>
  </si>
  <si>
    <r>
      <t>Т</t>
    </r>
    <r>
      <rPr>
        <sz val="8"/>
        <rFont val="Arial Cyr"/>
        <family val="2"/>
      </rPr>
      <t>стх</t>
    </r>
    <r>
      <rPr>
        <sz val="10"/>
        <rFont val="Arial Cyr"/>
        <family val="0"/>
      </rPr>
      <t>Ф</t>
    </r>
    <r>
      <rPr>
        <sz val="8"/>
        <rFont val="Arial Cyr"/>
        <family val="2"/>
      </rPr>
      <t>2</t>
    </r>
  </si>
  <si>
    <t>Дизайнер-стилист</t>
  </si>
  <si>
    <t>Старший художник-оформитель</t>
  </si>
  <si>
    <t>Художник-оформитель</t>
  </si>
  <si>
    <t>Слесарь-наладчик</t>
  </si>
  <si>
    <t>Технолог</t>
  </si>
  <si>
    <t>Разнорабочий</t>
  </si>
  <si>
    <t>Численность руководителей и других категорий работников и их предполагаемый уровень зар.платы в марте-апреле</t>
  </si>
  <si>
    <t>Занимаемая должность</t>
  </si>
  <si>
    <t>Численность, чел.</t>
  </si>
  <si>
    <t>Часовая ставка, руб./час</t>
  </si>
  <si>
    <t>Фактич. Отработ. Время, час</t>
  </si>
  <si>
    <r>
      <t>Всего,                           Ф</t>
    </r>
    <r>
      <rPr>
        <sz val="8"/>
        <rFont val="Arial Cyr"/>
        <family val="2"/>
      </rPr>
      <t>рук</t>
    </r>
  </si>
  <si>
    <t>О</t>
  </si>
  <si>
    <r>
      <t>О</t>
    </r>
    <r>
      <rPr>
        <sz val="8"/>
        <rFont val="Arial Cyr"/>
        <family val="2"/>
      </rPr>
      <t>х</t>
    </r>
    <r>
      <rPr>
        <sz val="10"/>
        <rFont val="Arial Cyr"/>
        <family val="0"/>
      </rPr>
      <t>Ф</t>
    </r>
    <r>
      <rPr>
        <sz val="8"/>
        <rFont val="Arial Cyr"/>
        <family val="2"/>
      </rPr>
      <t>1</t>
    </r>
  </si>
  <si>
    <r>
      <t>О</t>
    </r>
    <r>
      <rPr>
        <sz val="8"/>
        <rFont val="Arial Cyr"/>
        <family val="2"/>
      </rPr>
      <t>х</t>
    </r>
    <r>
      <rPr>
        <sz val="10"/>
        <rFont val="Arial Cyr"/>
        <family val="0"/>
      </rPr>
      <t>Ф</t>
    </r>
    <r>
      <rPr>
        <sz val="8"/>
        <rFont val="Arial Cyr"/>
        <family val="2"/>
      </rPr>
      <t>2</t>
    </r>
  </si>
  <si>
    <t>Генеральный директор</t>
  </si>
  <si>
    <t>Коммерческий директор</t>
  </si>
  <si>
    <t>Главный бухгалтер</t>
  </si>
  <si>
    <t>Водитель</t>
  </si>
  <si>
    <t>Уборщица</t>
  </si>
  <si>
    <t>Сторож</t>
  </si>
  <si>
    <t>Фонд оплаты труда :</t>
  </si>
  <si>
    <t>где</t>
  </si>
  <si>
    <t>Вода на технологические цели и прием сточных вод :</t>
  </si>
  <si>
    <t>Кол-во месяцев</t>
  </si>
  <si>
    <t>N</t>
  </si>
  <si>
    <t>мес.</t>
  </si>
  <si>
    <t>Объем потребления</t>
  </si>
  <si>
    <t>Q</t>
  </si>
  <si>
    <t>куб.м</t>
  </si>
  <si>
    <t>Расценка за 1 куб.м. воды</t>
  </si>
  <si>
    <t>Стоимость топлива на технологические цели за 2 мес.</t>
  </si>
  <si>
    <t>руб</t>
  </si>
  <si>
    <t>Затраты на энергию для технологических целей :</t>
  </si>
  <si>
    <t>Кол-во потребленной оборудованием электроэнергии</t>
  </si>
  <si>
    <t>КВТ/ч</t>
  </si>
  <si>
    <t>Тарифная ставка за один КВТ/ч электроэнергии</t>
  </si>
  <si>
    <t>Т</t>
  </si>
  <si>
    <t>Затраты на отопление производственного помещения :</t>
  </si>
  <si>
    <t>Отапливаемый период</t>
  </si>
  <si>
    <t>Цена за 1 Гкал тепловой энергии</t>
  </si>
  <si>
    <t>Кол-во потребленной тепловой энергии</t>
  </si>
  <si>
    <t>Гкал</t>
  </si>
  <si>
    <t>Затраты на освещение :</t>
  </si>
  <si>
    <t>Кол-во потребленной энергии</t>
  </si>
  <si>
    <t>Затраты на бензин :</t>
  </si>
  <si>
    <t>Средне-дневной пробег автомобиля</t>
  </si>
  <si>
    <t>Пд</t>
  </si>
  <si>
    <t>км</t>
  </si>
  <si>
    <t>Кол-во дней эксплуатации</t>
  </si>
  <si>
    <t>Д</t>
  </si>
  <si>
    <t>Норма расхода бензина на 1 км пути</t>
  </si>
  <si>
    <t>Нр</t>
  </si>
  <si>
    <t>л</t>
  </si>
  <si>
    <t>Цена 1 л бензина</t>
  </si>
  <si>
    <t>Затраты на оплату труда по предприятию за два месяца :</t>
  </si>
  <si>
    <t>Отчисления на социальные службы :</t>
  </si>
  <si>
    <t>Пенсионный фонд</t>
  </si>
  <si>
    <t>Соцстрах</t>
  </si>
  <si>
    <t>Медстрахование</t>
  </si>
  <si>
    <t>Транспортный налог</t>
  </si>
  <si>
    <t>Амортизационные отчисления :</t>
  </si>
  <si>
    <t>Амортизационный период</t>
  </si>
  <si>
    <t>Та</t>
  </si>
  <si>
    <t>лет</t>
  </si>
  <si>
    <t>Среднегодовая стоимость основных фондов</t>
  </si>
  <si>
    <t>Фс</t>
  </si>
  <si>
    <t>За два месяца :</t>
  </si>
  <si>
    <t>Норма отчисления на полное обновление</t>
  </si>
  <si>
    <t>На</t>
  </si>
  <si>
    <t>%</t>
  </si>
  <si>
    <t>Страховые отчисления :</t>
  </si>
  <si>
    <t>Годовой процент на сумму свыше 40 млн.руб.</t>
  </si>
  <si>
    <t>Х</t>
  </si>
  <si>
    <t>Стоимость застрахованного имущества</t>
  </si>
  <si>
    <r>
      <t>С</t>
    </r>
    <r>
      <rPr>
        <sz val="8"/>
        <rFont val="Arial Cyr"/>
        <family val="2"/>
      </rPr>
      <t>им</t>
    </r>
  </si>
  <si>
    <t>Арендные платежи за 2 месяца</t>
  </si>
  <si>
    <t>Процент выплачиваемый за кредит :</t>
  </si>
  <si>
    <t>Величина кредита</t>
  </si>
  <si>
    <t>Процентная ставка Центробанка</t>
  </si>
  <si>
    <t>Спр</t>
  </si>
  <si>
    <t>m</t>
  </si>
  <si>
    <t>Число периодов,за кот. Необходимо выплатить процент</t>
  </si>
  <si>
    <t>Расходы на телевизионную рекламу по телевидению :</t>
  </si>
  <si>
    <t>Кол-во слов в рекламе</t>
  </si>
  <si>
    <t>Расценка за одно слово</t>
  </si>
  <si>
    <t>Кол-во запусков рекламы</t>
  </si>
  <si>
    <t>Процент за срочность</t>
  </si>
  <si>
    <t>Стоимость 1/32 полосы рекламы в газете</t>
  </si>
  <si>
    <t>Рг</t>
  </si>
  <si>
    <t>В себестоимость продукции включается также :</t>
  </si>
  <si>
    <t>Налог на пользователей автомобильных дорог</t>
  </si>
  <si>
    <t>Процент от объема реализации</t>
  </si>
  <si>
    <t>Объем реализации</t>
  </si>
  <si>
    <t>Налог на владельцев транспортных средств</t>
  </si>
  <si>
    <t>Процент от минимальной заработной платы</t>
  </si>
  <si>
    <t>Минимальная зарплата за март</t>
  </si>
  <si>
    <r>
      <t>З</t>
    </r>
    <r>
      <rPr>
        <sz val="8"/>
        <rFont val="Arial Cyr"/>
        <family val="2"/>
      </rPr>
      <t>март</t>
    </r>
  </si>
  <si>
    <t>Минимальная зарплата за апрель</t>
  </si>
  <si>
    <r>
      <t>З</t>
    </r>
    <r>
      <rPr>
        <sz val="8"/>
        <rFont val="Arial Cyr"/>
        <family val="2"/>
      </rPr>
      <t>апр</t>
    </r>
  </si>
  <si>
    <t>Кол-во л.с.</t>
  </si>
  <si>
    <t>Всего по этой статье :</t>
  </si>
  <si>
    <t>Полная себестоимость первой партии продукции предприятия</t>
  </si>
  <si>
    <t>Наименование элементов затрат</t>
  </si>
  <si>
    <t>Сырье и основные материалы (за вычетом возвратных отходов):</t>
  </si>
  <si>
    <t>а) сырье и основные материалы</t>
  </si>
  <si>
    <t>б) вода на технологические цели</t>
  </si>
  <si>
    <t>Вспомогательные материалы</t>
  </si>
  <si>
    <t>Топливо на технологические цели</t>
  </si>
  <si>
    <t>Энергия на технологические цели</t>
  </si>
  <si>
    <t>Коммунальные услуги :</t>
  </si>
  <si>
    <t>а) отопление помещений</t>
  </si>
  <si>
    <t>б) освещение помещений</t>
  </si>
  <si>
    <t>Горючее для автомобиля</t>
  </si>
  <si>
    <t>Всего материальных затрат</t>
  </si>
  <si>
    <t>Заработная плата производственного персонала</t>
  </si>
  <si>
    <t>Заработная плата руководителей и других категорий работников</t>
  </si>
  <si>
    <t>Всего затрат на оплату труда</t>
  </si>
  <si>
    <t>Всего затрат на отчисления на соц.нужды</t>
  </si>
  <si>
    <t>Затраты на амортизацию основных фондов</t>
  </si>
  <si>
    <t>Арендная плата</t>
  </si>
  <si>
    <t>Страховые взносы</t>
  </si>
  <si>
    <t>Реклама</t>
  </si>
  <si>
    <t>Канцтовары</t>
  </si>
  <si>
    <t>Процент за кредит</t>
  </si>
  <si>
    <t>Налог на пользователей автодорогами и владельцев автомобилей</t>
  </si>
  <si>
    <t>Всего прочих затрат</t>
  </si>
  <si>
    <t>Итого полная себестоимость продукции</t>
  </si>
  <si>
    <t>Удельный вес условно-постоянных затрат в полной себестоимости продукции :</t>
  </si>
  <si>
    <t>Стоимость условно-постоянных затрат</t>
  </si>
  <si>
    <r>
      <t>З</t>
    </r>
    <r>
      <rPr>
        <sz val="8"/>
        <rFont val="Arial Cyr"/>
        <family val="2"/>
      </rPr>
      <t>п</t>
    </r>
  </si>
  <si>
    <r>
      <t>С</t>
    </r>
    <r>
      <rPr>
        <sz val="8"/>
        <rFont val="Arial Cyr"/>
        <family val="2"/>
      </rPr>
      <t>пр</t>
    </r>
    <r>
      <rPr>
        <sz val="10"/>
        <rFont val="Arial Cyr"/>
        <family val="0"/>
      </rPr>
      <t xml:space="preserve"> - полная себестоимость продукции, руб.</t>
    </r>
  </si>
  <si>
    <t>Удельный вес условно-переменных затрат в полной себестоимости продукции :</t>
  </si>
  <si>
    <t>Стоимость условно-переменных затрат</t>
  </si>
  <si>
    <r>
      <t>З</t>
    </r>
    <r>
      <rPr>
        <sz val="8"/>
        <rFont val="Arial Cyr"/>
        <family val="2"/>
      </rPr>
      <t>пер</t>
    </r>
  </si>
  <si>
    <t>Оборотные средства фирмы :</t>
  </si>
  <si>
    <t>Среднедневной расход материалов :</t>
  </si>
  <si>
    <t>Расход материалов на выпуск всей продукции</t>
  </si>
  <si>
    <r>
      <t>Р</t>
    </r>
    <r>
      <rPr>
        <sz val="8"/>
        <rFont val="Times New Roman Cyr"/>
        <family val="1"/>
      </rPr>
      <t>м</t>
    </r>
  </si>
  <si>
    <t>Число дней выпуска продукции</t>
  </si>
  <si>
    <t>Время между 2-мя поставками :</t>
  </si>
  <si>
    <t>Грузоподъемность автомобиля</t>
  </si>
  <si>
    <t>Г</t>
  </si>
  <si>
    <t>Среднедневной расход материалов в нат.выражении</t>
  </si>
  <si>
    <r>
      <t>Д</t>
    </r>
    <r>
      <rPr>
        <sz val="8"/>
        <rFont val="Times New Roman Cyr"/>
        <family val="1"/>
      </rPr>
      <t>н</t>
    </r>
  </si>
  <si>
    <t>Страховой запас тооварно-материальных ценностей :</t>
  </si>
  <si>
    <t>Незавершенное производство :</t>
  </si>
  <si>
    <t>Длительность производственного цикла</t>
  </si>
  <si>
    <r>
      <t>Т</t>
    </r>
    <r>
      <rPr>
        <sz val="8"/>
        <rFont val="Times New Roman Cyr"/>
        <family val="1"/>
      </rPr>
      <t>ц</t>
    </r>
  </si>
  <si>
    <t>Среднедневная себестоимость выпуска продукции :</t>
  </si>
  <si>
    <t xml:space="preserve">Полная себестоимость выпуска продукции </t>
  </si>
  <si>
    <r>
      <t>С</t>
    </r>
    <r>
      <rPr>
        <sz val="8"/>
        <rFont val="Times New Roman Cyr"/>
        <family val="1"/>
      </rPr>
      <t>пр</t>
    </r>
  </si>
  <si>
    <t>Коэффициент готовности :</t>
  </si>
  <si>
    <t>Уд.вес условно-постоянных затрат в полной себестоимости продукции</t>
  </si>
  <si>
    <r>
      <t>У</t>
    </r>
    <r>
      <rPr>
        <sz val="8"/>
        <rFont val="Times New Roman Cyr"/>
        <family val="1"/>
      </rPr>
      <t>п</t>
    </r>
  </si>
  <si>
    <t>Уд.вес условно-переменных затрат в полной себестоимости продукции</t>
  </si>
  <si>
    <r>
      <t>У</t>
    </r>
    <r>
      <rPr>
        <sz val="8"/>
        <rFont val="Times New Roman Cyr"/>
        <family val="1"/>
      </rPr>
      <t>пер</t>
    </r>
  </si>
  <si>
    <t>Прочие оборотные средства :</t>
  </si>
  <si>
    <t>Процент от всех оборотных средств</t>
  </si>
  <si>
    <t>Основные средства фирмы</t>
  </si>
  <si>
    <r>
      <t>Ф</t>
    </r>
    <r>
      <rPr>
        <sz val="8"/>
        <rFont val="Arial Cyr"/>
        <family val="2"/>
      </rPr>
      <t>осн</t>
    </r>
  </si>
  <si>
    <t>Прибыль (убыток) от реализации продукции :</t>
  </si>
  <si>
    <t>Полная себестоимость реализованной продукции</t>
  </si>
  <si>
    <t>Стоимость реаллизованой продукции</t>
  </si>
  <si>
    <r>
      <t>Р</t>
    </r>
    <r>
      <rPr>
        <sz val="8"/>
        <rFont val="Times New Roman Cyr"/>
        <family val="1"/>
      </rPr>
      <t>п</t>
    </r>
  </si>
  <si>
    <t>Рентабельность продукции :</t>
  </si>
  <si>
    <t>Рентабельность производства :</t>
  </si>
  <si>
    <t>Фондоотдача :</t>
  </si>
  <si>
    <t>Фондоемкость :</t>
  </si>
  <si>
    <t>Фондовооруженность :</t>
  </si>
  <si>
    <t>Среднесписочная численность рабочих</t>
  </si>
  <si>
    <r>
      <t>Ч</t>
    </r>
    <r>
      <rPr>
        <sz val="8"/>
        <rFont val="Times New Roman Cyr"/>
        <family val="1"/>
      </rPr>
      <t>ср</t>
    </r>
  </si>
  <si>
    <t>Напряженность использования оборудования :</t>
  </si>
  <si>
    <t>руб.за единицу</t>
  </si>
  <si>
    <t>Кол-во единиц обборудования</t>
  </si>
  <si>
    <r>
      <t>n</t>
    </r>
    <r>
      <rPr>
        <sz val="8"/>
        <rFont val="Times New Roman Cyr"/>
        <family val="1"/>
      </rPr>
      <t>об</t>
    </r>
  </si>
  <si>
    <t>Выработка на 1 работающего :</t>
  </si>
  <si>
    <t>Численность работающих</t>
  </si>
  <si>
    <r>
      <t>Ч</t>
    </r>
    <r>
      <rPr>
        <sz val="8"/>
        <rFont val="Times New Roman Cyr"/>
        <family val="1"/>
      </rPr>
      <t>р</t>
    </r>
  </si>
  <si>
    <t>Затраты на 1 руб. товарной продукции :</t>
  </si>
  <si>
    <t>Чистая прибыль :</t>
  </si>
  <si>
    <t>1. Налог на прибыль :</t>
  </si>
  <si>
    <t>НДС, полученный от покупателей</t>
  </si>
  <si>
    <r>
      <t>НДС</t>
    </r>
    <r>
      <rPr>
        <sz val="8"/>
        <rFont val="Arial Cyr"/>
        <family val="2"/>
      </rPr>
      <t>пок</t>
    </r>
  </si>
  <si>
    <t>2. НДС :</t>
  </si>
  <si>
    <t>НДС, уплаченный поставщикам</t>
  </si>
  <si>
    <r>
      <t>НДС</t>
    </r>
    <r>
      <rPr>
        <sz val="8"/>
        <rFont val="Arial Cyr"/>
        <family val="2"/>
      </rPr>
      <t>пос</t>
    </r>
  </si>
  <si>
    <t>Процент от НДС</t>
  </si>
  <si>
    <t>3. Налог на приобретение автотранспорта :</t>
  </si>
  <si>
    <t>Процент от стоимости автомобиля</t>
  </si>
  <si>
    <t>Стоимость автомобиля</t>
  </si>
  <si>
    <r>
      <t>Ц</t>
    </r>
    <r>
      <rPr>
        <sz val="8"/>
        <rFont val="Arial Cyr"/>
        <family val="2"/>
      </rPr>
      <t>а</t>
    </r>
  </si>
  <si>
    <t>4. Целевой сбор на нужды муниципальной милиции, благоустройство территории города, социальную защиту</t>
  </si>
  <si>
    <t>населения и уборку территории города</t>
  </si>
  <si>
    <t>Ставка налога</t>
  </si>
  <si>
    <t>Численность работников</t>
  </si>
  <si>
    <t>5. Налог на превышение заработной нормативной величины (6 минимальных зарплат) :</t>
  </si>
  <si>
    <t>Фонд оплаты труда</t>
  </si>
  <si>
    <t>ФОТ</t>
  </si>
  <si>
    <t>Число месяцев, за кот. подлежит уплата налога</t>
  </si>
  <si>
    <t>6. Налог на содержание жилсоцфонда и социально-культурной сферы :</t>
  </si>
  <si>
    <t>7. Налог на нужды образовательных учреждений :</t>
  </si>
  <si>
    <r>
      <t>С</t>
    </r>
    <r>
      <rPr>
        <sz val="8"/>
        <rFont val="Arial Cyr"/>
        <family val="2"/>
      </rPr>
      <t>н</t>
    </r>
  </si>
  <si>
    <t>Сумма всех налоговых отчислений за 2 месяца</t>
  </si>
  <si>
    <t>X</t>
  </si>
  <si>
    <t>Пелих А.С.</t>
  </si>
  <si>
    <t>стр. 72</t>
  </si>
  <si>
    <t>стр. 82</t>
  </si>
  <si>
    <t>стр. 81-82</t>
  </si>
  <si>
    <t>стр. 81</t>
  </si>
  <si>
    <t>стр. 80-81</t>
  </si>
  <si>
    <t>стр. 79-80</t>
  </si>
  <si>
    <t>стр. 78</t>
  </si>
  <si>
    <t>стр. 77-78</t>
  </si>
  <si>
    <t>стр. 77</t>
  </si>
  <si>
    <t>стр. 76</t>
  </si>
  <si>
    <t>стр. 75</t>
  </si>
  <si>
    <t>стр. 74-75</t>
  </si>
  <si>
    <t>стр. 73-74</t>
  </si>
  <si>
    <t>стр. 73</t>
  </si>
  <si>
    <t>стр. 71</t>
  </si>
  <si>
    <t>стр. 70</t>
  </si>
  <si>
    <t>стр. 69</t>
  </si>
  <si>
    <t>стр. 68</t>
  </si>
  <si>
    <t>стр. 67</t>
  </si>
  <si>
    <t>стр. 65-66</t>
  </si>
  <si>
    <t>Затраты на производство продукции</t>
  </si>
  <si>
    <t>Фонд занятости</t>
  </si>
  <si>
    <t>Текущий запас товарно-материальных ценностей :</t>
  </si>
  <si>
    <t>Число периодов, за кот. произв.отчисления</t>
  </si>
  <si>
    <t>Кол-во месяцев, в теч.кот. выплачивается оговоренная сумма</t>
  </si>
  <si>
    <t>Средняя заработная плата за 2 мес.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</si>
</sst>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9" fontId="0" fillId="0" borderId="1" xfId="17" applyBorder="1" applyAlignment="1">
      <alignment/>
    </xf>
    <xf numFmtId="0" fontId="0" fillId="0" borderId="0" xfId="0" applyFill="1" applyAlignment="1">
      <alignment/>
    </xf>
    <xf numFmtId="165" fontId="0" fillId="0" borderId="1" xfId="17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2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9" fontId="0" fillId="2" borderId="1" xfId="17" applyFill="1" applyBorder="1" applyAlignment="1">
      <alignment/>
    </xf>
    <xf numFmtId="165" fontId="0" fillId="2" borderId="1" xfId="17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8" xfId="0" applyFont="1" applyBorder="1" applyAlignment="1">
      <alignment vertical="top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2" borderId="1" xfId="0" applyNumberForma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Relationship Id="rId4" Type="http://schemas.openxmlformats.org/officeDocument/2006/relationships/image" Target="../media/image34.emf" /><Relationship Id="rId5" Type="http://schemas.openxmlformats.org/officeDocument/2006/relationships/image" Target="../media/image35.emf" /><Relationship Id="rId6" Type="http://schemas.openxmlformats.org/officeDocument/2006/relationships/image" Target="../media/image36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8.emf" /><Relationship Id="rId3" Type="http://schemas.openxmlformats.org/officeDocument/2006/relationships/image" Target="../media/image39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41.emf" /><Relationship Id="rId3" Type="http://schemas.openxmlformats.org/officeDocument/2006/relationships/image" Target="../media/image42.emf" /><Relationship Id="rId4" Type="http://schemas.openxmlformats.org/officeDocument/2006/relationships/image" Target="../media/image43.emf" /><Relationship Id="rId5" Type="http://schemas.openxmlformats.org/officeDocument/2006/relationships/image" Target="../media/image44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6.emf" /><Relationship Id="rId3" Type="http://schemas.openxmlformats.org/officeDocument/2006/relationships/image" Target="../media/image47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49.emf" /><Relationship Id="rId3" Type="http://schemas.openxmlformats.org/officeDocument/2006/relationships/image" Target="../media/image50.emf" /><Relationship Id="rId4" Type="http://schemas.openxmlformats.org/officeDocument/2006/relationships/image" Target="../media/image5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53.emf" /><Relationship Id="rId3" Type="http://schemas.openxmlformats.org/officeDocument/2006/relationships/image" Target="../media/image54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5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2.emf" /><Relationship Id="rId4" Type="http://schemas.openxmlformats.org/officeDocument/2006/relationships/image" Target="../media/image2.emf" /><Relationship Id="rId5" Type="http://schemas.openxmlformats.org/officeDocument/2006/relationships/image" Target="../media/image1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9.emf" /><Relationship Id="rId7" Type="http://schemas.openxmlformats.org/officeDocument/2006/relationships/image" Target="../media/image1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19.emf" /><Relationship Id="rId5" Type="http://schemas.openxmlformats.org/officeDocument/2006/relationships/image" Target="../media/image2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8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Relationship Id="rId3" Type="http://schemas.openxmlformats.org/officeDocument/2006/relationships/image" Target="../media/image2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vmlDrawing" Target="../drawings/vmlDrawing6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oleObject" Target="../embeddings/oleObject_12_2.bin" /><Relationship Id="rId4" Type="http://schemas.openxmlformats.org/officeDocument/2006/relationships/vmlDrawing" Target="../drawings/vmlDrawing8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vmlDrawing" Target="../drawings/vmlDrawing9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oleObject" Target="../embeddings/oleObject_15_1.bin" /><Relationship Id="rId3" Type="http://schemas.openxmlformats.org/officeDocument/2006/relationships/oleObject" Target="../embeddings/oleObject_15_2.bin" /><Relationship Id="rId4" Type="http://schemas.openxmlformats.org/officeDocument/2006/relationships/oleObject" Target="../embeddings/oleObject_15_3.bin" /><Relationship Id="rId5" Type="http://schemas.openxmlformats.org/officeDocument/2006/relationships/oleObject" Target="../embeddings/oleObject_15_4.bin" /><Relationship Id="rId6" Type="http://schemas.openxmlformats.org/officeDocument/2006/relationships/oleObject" Target="../embeddings/oleObject_15_5.bin" /><Relationship Id="rId7" Type="http://schemas.openxmlformats.org/officeDocument/2006/relationships/vmlDrawing" Target="../drawings/vmlDrawing10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vmlDrawing" Target="../drawings/vmlDrawing11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oleObject" Target="../embeddings/oleObject_17_4.bin" /><Relationship Id="rId6" Type="http://schemas.openxmlformats.org/officeDocument/2006/relationships/vmlDrawing" Target="../drawings/vmlDrawing1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oleObject" Target="../embeddings/oleObject_18_2.bin" /><Relationship Id="rId4" Type="http://schemas.openxmlformats.org/officeDocument/2006/relationships/vmlDrawing" Target="../drawings/vmlDrawing13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oleObject" Target="../embeddings/oleObject_19_2.bin" /><Relationship Id="rId4" Type="http://schemas.openxmlformats.org/officeDocument/2006/relationships/oleObject" Target="../embeddings/oleObject_19_3.bin" /><Relationship Id="rId5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oleObject" Target="../embeddings/oleObject_20_1.bin" /><Relationship Id="rId3" Type="http://schemas.openxmlformats.org/officeDocument/2006/relationships/oleObject" Target="../embeddings/oleObject_20_2.bin" /><Relationship Id="rId4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vmlDrawing" Target="../drawings/vmlDrawing16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oleObject" Target="../embeddings/oleObject_8_3.bin" /><Relationship Id="rId5" Type="http://schemas.openxmlformats.org/officeDocument/2006/relationships/oleObject" Target="../embeddings/oleObject_8_4.bin" /><Relationship Id="rId6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L45" sqref="L45"/>
    </sheetView>
  </sheetViews>
  <sheetFormatPr defaultColWidth="9.00390625" defaultRowHeight="12.75"/>
  <cols>
    <col min="1" max="1" width="37.125" style="0" customWidth="1"/>
    <col min="4" max="4" width="12.25390625" style="0" customWidth="1"/>
  </cols>
  <sheetData>
    <row r="1" spans="1:2" ht="12.75">
      <c r="A1" t="s">
        <v>316</v>
      </c>
      <c r="B1" t="s">
        <v>336</v>
      </c>
    </row>
    <row r="2" ht="12.75">
      <c r="A2" t="s">
        <v>0</v>
      </c>
    </row>
    <row r="3" ht="6.75" customHeight="1"/>
    <row r="4" spans="1:4" ht="12.75">
      <c r="A4" s="1" t="s">
        <v>1</v>
      </c>
      <c r="B4" s="2" t="s">
        <v>2</v>
      </c>
      <c r="C4" s="44">
        <v>32940</v>
      </c>
      <c r="D4" s="1" t="s">
        <v>3</v>
      </c>
    </row>
    <row r="5" spans="1:4" ht="12.75">
      <c r="A5" s="1" t="s">
        <v>5</v>
      </c>
      <c r="B5" s="2" t="s">
        <v>6</v>
      </c>
      <c r="C5" s="30">
        <v>500</v>
      </c>
      <c r="D5" s="1" t="s">
        <v>7</v>
      </c>
    </row>
    <row r="6" spans="1:4" ht="12.75">
      <c r="A6" s="1" t="s">
        <v>8</v>
      </c>
      <c r="B6" s="2" t="s">
        <v>9</v>
      </c>
      <c r="C6" s="30">
        <v>0.041</v>
      </c>
      <c r="D6" s="1"/>
    </row>
    <row r="7" spans="1:4" ht="12.75">
      <c r="A7" s="1" t="s">
        <v>10</v>
      </c>
      <c r="B7" s="2" t="s">
        <v>11</v>
      </c>
      <c r="C7" s="30">
        <v>1.2</v>
      </c>
      <c r="D7" s="1"/>
    </row>
    <row r="8" spans="1:4" ht="12.75">
      <c r="A8" s="1" t="s">
        <v>12</v>
      </c>
      <c r="B8" s="2" t="s">
        <v>13</v>
      </c>
      <c r="C8" s="30">
        <v>1.4</v>
      </c>
      <c r="D8" s="1"/>
    </row>
    <row r="9" spans="1:4" ht="12.75">
      <c r="A9" s="1" t="s">
        <v>14</v>
      </c>
      <c r="B9" s="2" t="s">
        <v>15</v>
      </c>
      <c r="C9" s="30">
        <v>1</v>
      </c>
      <c r="D9" s="1"/>
    </row>
    <row r="10" spans="1:4" ht="12.75">
      <c r="A10" s="1" t="s">
        <v>16</v>
      </c>
      <c r="B10" s="2" t="s">
        <v>17</v>
      </c>
      <c r="C10" s="30">
        <v>365</v>
      </c>
      <c r="D10" s="1" t="s">
        <v>18</v>
      </c>
    </row>
    <row r="11" spans="1:4" ht="12.75">
      <c r="A11" s="1" t="s">
        <v>19</v>
      </c>
      <c r="B11" s="2" t="s">
        <v>20</v>
      </c>
      <c r="C11" s="30">
        <v>52</v>
      </c>
      <c r="D11" s="1" t="s">
        <v>18</v>
      </c>
    </row>
    <row r="12" spans="1:4" ht="12.75">
      <c r="A12" s="1" t="s">
        <v>21</v>
      </c>
      <c r="B12" s="2" t="s">
        <v>22</v>
      </c>
      <c r="C12" s="30">
        <v>8</v>
      </c>
      <c r="D12" s="1" t="s">
        <v>18</v>
      </c>
    </row>
    <row r="13" ht="9" customHeight="1"/>
    <row r="14" spans="1:5" ht="14.25">
      <c r="A14" s="39" t="s">
        <v>4</v>
      </c>
      <c r="D14" s="57">
        <f>C5*C6*C7*C8*C9*C4</f>
        <v>1134453.5999999999</v>
      </c>
      <c r="E14" t="s">
        <v>7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7983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6" sqref="C6"/>
    </sheetView>
  </sheetViews>
  <sheetFormatPr defaultColWidth="9.00390625" defaultRowHeight="12.75"/>
  <cols>
    <col min="1" max="1" width="33.00390625" style="0" customWidth="1"/>
    <col min="3" max="3" width="13.75390625" style="0" customWidth="1"/>
  </cols>
  <sheetData>
    <row r="1" spans="1:2" ht="12.75">
      <c r="A1" t="s">
        <v>316</v>
      </c>
      <c r="B1" t="s">
        <v>330</v>
      </c>
    </row>
    <row r="2" ht="12.75">
      <c r="A2" t="s">
        <v>0</v>
      </c>
    </row>
    <row r="3" ht="6" customHeight="1"/>
    <row r="4" spans="1:3" ht="14.25">
      <c r="A4" s="39" t="s">
        <v>166</v>
      </c>
      <c r="C4" s="47"/>
    </row>
    <row r="5" ht="12.75">
      <c r="C5" s="47"/>
    </row>
    <row r="6" spans="1:4" ht="12.75">
      <c r="A6" t="s">
        <v>132</v>
      </c>
      <c r="C6" s="47">
        <f>(Лист7!G15+Лист7!H15)+(Лист8!G15+Лист8!H15)</f>
        <v>18205116</v>
      </c>
      <c r="D6" t="s">
        <v>7</v>
      </c>
    </row>
    <row r="8" ht="12.75">
      <c r="A8" t="s">
        <v>133</v>
      </c>
    </row>
  </sheetData>
  <printOptions/>
  <pageMargins left="0.75" right="0.75" top="1" bottom="1" header="0.5" footer="0.5"/>
  <pageSetup orientation="portrait" paperSize="9"/>
  <legacyDrawing r:id="rId3"/>
  <oleObjects>
    <oleObject progId="Equation.3" shapeId="262035" r:id="rId1"/>
    <oleObject progId="Equation.3" shapeId="262036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7" sqref="G7"/>
    </sheetView>
  </sheetViews>
  <sheetFormatPr defaultColWidth="9.00390625" defaultRowHeight="12.75"/>
  <cols>
    <col min="1" max="1" width="18.25390625" style="0" customWidth="1"/>
    <col min="3" max="3" width="14.875" style="0" customWidth="1"/>
    <col min="7" max="7" width="13.75390625" style="0" customWidth="1"/>
  </cols>
  <sheetData>
    <row r="1" spans="1:2" ht="12.75">
      <c r="A1" t="s">
        <v>316</v>
      </c>
      <c r="B1" t="s">
        <v>329</v>
      </c>
    </row>
    <row r="2" ht="12.75">
      <c r="A2" t="s">
        <v>0</v>
      </c>
    </row>
    <row r="3" ht="5.25" customHeight="1"/>
    <row r="4" ht="14.25">
      <c r="A4" s="39" t="s">
        <v>167</v>
      </c>
    </row>
    <row r="5" ht="3.75" customHeight="1"/>
    <row r="6" spans="1:2" ht="12.75">
      <c r="A6" s="1" t="s">
        <v>168</v>
      </c>
      <c r="B6" s="36">
        <v>0.28</v>
      </c>
    </row>
    <row r="7" spans="1:8" ht="12.75">
      <c r="A7" s="1" t="s">
        <v>169</v>
      </c>
      <c r="B7" s="37">
        <v>0.054</v>
      </c>
      <c r="G7" s="47">
        <f>Лист10!C6*40/100</f>
        <v>7282046.4</v>
      </c>
      <c r="H7" t="s">
        <v>7</v>
      </c>
    </row>
    <row r="8" spans="1:7" ht="12.75">
      <c r="A8" s="1" t="s">
        <v>170</v>
      </c>
      <c r="B8" s="37">
        <v>0.036</v>
      </c>
      <c r="G8" s="47"/>
    </row>
    <row r="9" spans="1:7" ht="12.75">
      <c r="A9" s="1" t="s">
        <v>338</v>
      </c>
      <c r="B9" s="36">
        <v>0.02</v>
      </c>
      <c r="G9" s="47"/>
    </row>
    <row r="10" spans="1:7" ht="12.75">
      <c r="A10" s="1" t="s">
        <v>171</v>
      </c>
      <c r="B10" s="36">
        <v>0.01</v>
      </c>
      <c r="G10" s="47"/>
    </row>
    <row r="11" spans="1:7" ht="12.75">
      <c r="A11" s="34" t="s">
        <v>315</v>
      </c>
      <c r="B11" s="23">
        <f>SUM(B6:B10)</f>
        <v>0.4</v>
      </c>
      <c r="G11" s="47"/>
    </row>
    <row r="12" ht="12.75">
      <c r="G12" s="47"/>
    </row>
    <row r="13" spans="1:7" ht="14.25">
      <c r="A13" s="39" t="s">
        <v>172</v>
      </c>
      <c r="G13" s="47"/>
    </row>
    <row r="14" spans="1:8" ht="25.5">
      <c r="A14" s="8" t="s">
        <v>173</v>
      </c>
      <c r="B14" s="2" t="s">
        <v>174</v>
      </c>
      <c r="C14" s="30">
        <v>5</v>
      </c>
      <c r="D14" s="1" t="s">
        <v>175</v>
      </c>
      <c r="G14" s="47">
        <f>C15*C16/100</f>
        <v>48785200</v>
      </c>
      <c r="H14" t="s">
        <v>7</v>
      </c>
    </row>
    <row r="15" spans="1:8" ht="38.25">
      <c r="A15" s="8" t="s">
        <v>176</v>
      </c>
      <c r="B15" s="2" t="s">
        <v>177</v>
      </c>
      <c r="C15" s="44">
        <v>243926000</v>
      </c>
      <c r="D15" s="1" t="s">
        <v>7</v>
      </c>
      <c r="E15" t="s">
        <v>178</v>
      </c>
      <c r="G15" s="47">
        <f>G14*0.2</f>
        <v>9757040</v>
      </c>
      <c r="H15" t="s">
        <v>7</v>
      </c>
    </row>
    <row r="16" spans="1:4" ht="38.25">
      <c r="A16" s="8" t="s">
        <v>179</v>
      </c>
      <c r="B16" s="2" t="s">
        <v>180</v>
      </c>
      <c r="C16" s="44">
        <v>20</v>
      </c>
      <c r="D16" s="1" t="s">
        <v>181</v>
      </c>
    </row>
  </sheetData>
  <printOptions/>
  <pageMargins left="0.75" right="0.75" top="1" bottom="1" header="0.5" footer="0.5"/>
  <pageSetup orientation="portrait" paperSize="9"/>
  <legacyDrawing r:id="rId4"/>
  <oleObjects>
    <oleObject progId="Equation.3" shapeId="291147" r:id="rId1"/>
    <oleObject progId="Equation.3" shapeId="291149" r:id="rId2"/>
    <oleObject progId="Equation.3" shapeId="291150" r:id="rId3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G7" sqref="G7"/>
    </sheetView>
  </sheetViews>
  <sheetFormatPr defaultColWidth="9.00390625" defaultRowHeight="12.75"/>
  <cols>
    <col min="1" max="1" width="32.625" style="0" customWidth="1"/>
    <col min="2" max="2" width="11.75390625" style="0" bestFit="1" customWidth="1"/>
    <col min="3" max="3" width="14.625" style="0" customWidth="1"/>
    <col min="4" max="4" width="5.75390625" style="0" customWidth="1"/>
    <col min="6" max="6" width="6.25390625" style="0" customWidth="1"/>
    <col min="7" max="7" width="12.875" style="0" customWidth="1"/>
  </cols>
  <sheetData>
    <row r="1" spans="1:2" ht="12.75">
      <c r="A1" t="s">
        <v>316</v>
      </c>
      <c r="B1" t="s">
        <v>328</v>
      </c>
    </row>
    <row r="2" ht="12.75">
      <c r="A2" t="s">
        <v>0</v>
      </c>
    </row>
    <row r="3" ht="3.75" customHeight="1"/>
    <row r="4" ht="14.25">
      <c r="A4" s="39" t="s">
        <v>182</v>
      </c>
    </row>
    <row r="5" ht="3.75" customHeight="1"/>
    <row r="6" spans="1:4" ht="25.5">
      <c r="A6" s="8" t="s">
        <v>183</v>
      </c>
      <c r="B6" s="7" t="s">
        <v>184</v>
      </c>
      <c r="C6" s="30">
        <v>0.5</v>
      </c>
      <c r="D6" s="1"/>
    </row>
    <row r="7" spans="1:8" ht="12.75">
      <c r="A7" s="8" t="s">
        <v>135</v>
      </c>
      <c r="B7" s="7" t="s">
        <v>82</v>
      </c>
      <c r="C7" s="30">
        <v>2</v>
      </c>
      <c r="D7" s="1" t="s">
        <v>137</v>
      </c>
      <c r="G7" s="47">
        <f>(C6*C9*C7)/(100*C8)</f>
        <v>243926</v>
      </c>
      <c r="H7" t="s">
        <v>7</v>
      </c>
    </row>
    <row r="8" spans="1:4" ht="25.5">
      <c r="A8" s="8" t="s">
        <v>341</v>
      </c>
      <c r="B8" s="7" t="s">
        <v>136</v>
      </c>
      <c r="C8" s="30">
        <v>10</v>
      </c>
      <c r="D8" s="1" t="s">
        <v>137</v>
      </c>
    </row>
    <row r="9" spans="1:4" ht="25.5" customHeight="1">
      <c r="A9" s="8" t="s">
        <v>185</v>
      </c>
      <c r="B9" s="7" t="s">
        <v>186</v>
      </c>
      <c r="C9" s="45">
        <v>243926000</v>
      </c>
      <c r="D9" s="1" t="s">
        <v>7</v>
      </c>
    </row>
    <row r="10" ht="4.5" customHeight="1"/>
    <row r="11" spans="1:3" ht="12.75">
      <c r="A11" s="1" t="s">
        <v>187</v>
      </c>
      <c r="B11" s="44">
        <v>1534454</v>
      </c>
      <c r="C11" s="1" t="s">
        <v>7</v>
      </c>
    </row>
    <row r="12" ht="4.5" customHeight="1"/>
    <row r="13" ht="14.25">
      <c r="A13" s="39" t="s">
        <v>188</v>
      </c>
    </row>
    <row r="14" ht="4.5" customHeight="1"/>
    <row r="15" spans="1:4" ht="12.75">
      <c r="A15" s="8" t="s">
        <v>189</v>
      </c>
      <c r="B15" s="2" t="s">
        <v>82</v>
      </c>
      <c r="C15" s="44">
        <v>260000000</v>
      </c>
      <c r="D15" s="1" t="s">
        <v>7</v>
      </c>
    </row>
    <row r="16" spans="1:4" ht="12.75">
      <c r="A16" s="8" t="s">
        <v>190</v>
      </c>
      <c r="B16" s="2" t="s">
        <v>191</v>
      </c>
      <c r="C16" s="30">
        <v>210</v>
      </c>
      <c r="D16" s="1" t="s">
        <v>181</v>
      </c>
    </row>
    <row r="17" spans="1:8" ht="25.5">
      <c r="A17" s="8" t="s">
        <v>340</v>
      </c>
      <c r="B17" s="2" t="s">
        <v>192</v>
      </c>
      <c r="C17" s="30">
        <v>2</v>
      </c>
      <c r="D17" s="1" t="s">
        <v>137</v>
      </c>
      <c r="G17" s="47">
        <f>(C15*C16*C17)/(C18*100)</f>
        <v>32117647.05882353</v>
      </c>
      <c r="H17" t="s">
        <v>7</v>
      </c>
    </row>
    <row r="18" spans="1:4" ht="25.5">
      <c r="A18" s="8" t="s">
        <v>193</v>
      </c>
      <c r="B18" s="2" t="s">
        <v>136</v>
      </c>
      <c r="C18" s="30">
        <v>34</v>
      </c>
      <c r="D18" s="1" t="s">
        <v>137</v>
      </c>
    </row>
  </sheetData>
  <printOptions/>
  <pageMargins left="0.75" right="0.75" top="1" bottom="1" header="0.5" footer="0.5"/>
  <pageSetup horizontalDpi="300" verticalDpi="300" orientation="portrait" paperSize="9" r:id="rId4"/>
  <legacyDrawing r:id="rId3"/>
  <oleObjects>
    <oleObject progId="Equation.3" shapeId="314028" r:id="rId1"/>
    <oleObject progId="Equation.3" shapeId="314031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H6" sqref="H6"/>
    </sheetView>
  </sheetViews>
  <sheetFormatPr defaultColWidth="9.00390625" defaultRowHeight="12.75"/>
  <cols>
    <col min="1" max="1" width="30.375" style="0" customWidth="1"/>
    <col min="2" max="2" width="14.875" style="0" customWidth="1"/>
    <col min="7" max="7" width="4.875" style="0" customWidth="1"/>
    <col min="8" max="8" width="10.125" style="0" bestFit="1" customWidth="1"/>
  </cols>
  <sheetData>
    <row r="1" spans="1:2" ht="12.75">
      <c r="A1" t="s">
        <v>316</v>
      </c>
      <c r="B1" t="s">
        <v>327</v>
      </c>
    </row>
    <row r="2" ht="12.75">
      <c r="A2" t="s">
        <v>0</v>
      </c>
    </row>
    <row r="3" ht="6" customHeight="1"/>
    <row r="4" ht="14.25">
      <c r="A4" s="39" t="s">
        <v>194</v>
      </c>
    </row>
    <row r="5" spans="1:4" ht="12.75">
      <c r="A5" s="1" t="s">
        <v>195</v>
      </c>
      <c r="B5" s="2" t="s">
        <v>82</v>
      </c>
      <c r="C5" s="30">
        <v>69</v>
      </c>
      <c r="D5" s="1"/>
    </row>
    <row r="6" spans="1:9" ht="12.75">
      <c r="A6" s="1" t="s">
        <v>196</v>
      </c>
      <c r="B6" s="2" t="s">
        <v>64</v>
      </c>
      <c r="C6" s="44">
        <v>800</v>
      </c>
      <c r="D6" s="1" t="s">
        <v>7</v>
      </c>
      <c r="H6" s="47">
        <f>C5*C6*C7+(C8*C5*C6*C7)/100</f>
        <v>303600</v>
      </c>
      <c r="I6" t="s">
        <v>7</v>
      </c>
    </row>
    <row r="7" spans="1:4" ht="12.75">
      <c r="A7" s="1" t="s">
        <v>197</v>
      </c>
      <c r="B7" s="2" t="s">
        <v>136</v>
      </c>
      <c r="C7" s="30">
        <v>5</v>
      </c>
      <c r="D7" s="1"/>
    </row>
    <row r="8" spans="1:4" ht="12.75">
      <c r="A8" s="1" t="s">
        <v>198</v>
      </c>
      <c r="B8" s="2" t="s">
        <v>192</v>
      </c>
      <c r="C8" s="44">
        <v>10</v>
      </c>
      <c r="D8" s="1"/>
    </row>
    <row r="9" ht="4.5" customHeight="1"/>
    <row r="10" spans="1:9" ht="25.5">
      <c r="A10" s="52" t="s">
        <v>199</v>
      </c>
      <c r="B10" s="2" t="s">
        <v>200</v>
      </c>
      <c r="C10" s="44">
        <v>71000</v>
      </c>
      <c r="D10" s="1" t="s">
        <v>7</v>
      </c>
      <c r="H10" s="47">
        <f>H6+C10</f>
        <v>374600</v>
      </c>
      <c r="I10" t="s">
        <v>7</v>
      </c>
    </row>
    <row r="11" spans="1:9" ht="6" customHeight="1" thickBot="1">
      <c r="A11" s="54"/>
      <c r="B11" s="54"/>
      <c r="C11" s="54"/>
      <c r="D11" s="54"/>
      <c r="E11" s="54"/>
      <c r="F11" s="54"/>
      <c r="G11" s="54"/>
      <c r="H11" s="54"/>
      <c r="I11" s="54"/>
    </row>
    <row r="12" ht="14.25">
      <c r="A12" s="39" t="s">
        <v>201</v>
      </c>
    </row>
    <row r="13" spans="1:4" ht="12.75">
      <c r="A13" s="40" t="s">
        <v>202</v>
      </c>
      <c r="C13">
        <f>B15*B14/100</f>
        <v>2917500</v>
      </c>
      <c r="D13" t="s">
        <v>7</v>
      </c>
    </row>
    <row r="14" spans="1:3" ht="12.75">
      <c r="A14" s="1" t="s">
        <v>203</v>
      </c>
      <c r="B14" s="30">
        <v>1.5</v>
      </c>
      <c r="C14" s="1" t="s">
        <v>181</v>
      </c>
    </row>
    <row r="15" spans="1:3" ht="12.75">
      <c r="A15" s="1" t="s">
        <v>204</v>
      </c>
      <c r="B15" s="44">
        <v>194500000</v>
      </c>
      <c r="C15" s="1" t="s">
        <v>7</v>
      </c>
    </row>
    <row r="16" ht="3.75" customHeight="1"/>
    <row r="17" spans="1:4" ht="12.75">
      <c r="A17" s="40" t="s">
        <v>205</v>
      </c>
      <c r="D17" s="24"/>
    </row>
    <row r="18" spans="1:4" ht="25.5">
      <c r="A18" s="52" t="s">
        <v>206</v>
      </c>
      <c r="B18" s="25" t="s">
        <v>184</v>
      </c>
      <c r="C18" s="30">
        <v>0.6</v>
      </c>
      <c r="D18" s="10" t="s">
        <v>181</v>
      </c>
    </row>
    <row r="19" spans="1:9" ht="12.75">
      <c r="A19" s="1" t="s">
        <v>207</v>
      </c>
      <c r="B19" s="2" t="s">
        <v>208</v>
      </c>
      <c r="C19" s="44">
        <v>20500</v>
      </c>
      <c r="D19" s="1" t="s">
        <v>7</v>
      </c>
      <c r="H19" s="47">
        <f>((C19+C20)*C18*C21)/100</f>
        <v>32940</v>
      </c>
      <c r="I19" t="s">
        <v>7</v>
      </c>
    </row>
    <row r="20" spans="1:7" ht="12.75">
      <c r="A20" s="1" t="s">
        <v>209</v>
      </c>
      <c r="B20" s="2" t="s">
        <v>210</v>
      </c>
      <c r="C20" s="44">
        <v>34400</v>
      </c>
      <c r="D20" s="1" t="s">
        <v>7</v>
      </c>
      <c r="G20" s="47"/>
    </row>
    <row r="21" spans="1:4" ht="12.75">
      <c r="A21" s="1" t="s">
        <v>211</v>
      </c>
      <c r="B21" s="2" t="s">
        <v>37</v>
      </c>
      <c r="C21" s="30">
        <v>100</v>
      </c>
      <c r="D21" s="1"/>
    </row>
    <row r="22" ht="4.5" customHeight="1"/>
    <row r="23" spans="1:3" ht="12.75">
      <c r="A23" t="s">
        <v>212</v>
      </c>
      <c r="B23">
        <f>C13+H19</f>
        <v>2950440</v>
      </c>
      <c r="C23" t="s">
        <v>7</v>
      </c>
    </row>
  </sheetData>
  <printOptions/>
  <pageMargins left="0.75" right="0.75" top="1" bottom="1" header="0.5" footer="0.5"/>
  <pageSetup orientation="portrait" paperSize="9"/>
  <legacyDrawing r:id="rId4"/>
  <oleObjects>
    <oleObject progId="Equation.3" shapeId="316531" r:id="rId1"/>
    <oleObject progId="Equation.3" shapeId="316532" r:id="rId2"/>
    <oleObject progId="Equation.3" shapeId="316533" r:id="rId3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7" sqref="C7"/>
    </sheetView>
  </sheetViews>
  <sheetFormatPr defaultColWidth="9.00390625" defaultRowHeight="12.75"/>
  <cols>
    <col min="1" max="1" width="4.875" style="0" customWidth="1"/>
    <col min="2" max="2" width="58.25390625" style="0" customWidth="1"/>
    <col min="3" max="3" width="16.625" style="0" customWidth="1"/>
  </cols>
  <sheetData>
    <row r="1" spans="1:3" ht="12.75">
      <c r="A1" t="s">
        <v>316</v>
      </c>
      <c r="C1" t="s">
        <v>326</v>
      </c>
    </row>
    <row r="2" ht="12.75">
      <c r="A2" t="s">
        <v>0</v>
      </c>
    </row>
    <row r="3" ht="4.5" customHeight="1"/>
    <row r="4" ht="12.75">
      <c r="A4" t="s">
        <v>213</v>
      </c>
    </row>
    <row r="5" spans="1:3" ht="12.75">
      <c r="A5" s="2" t="s">
        <v>30</v>
      </c>
      <c r="B5" s="2" t="s">
        <v>214</v>
      </c>
      <c r="C5" s="2" t="s">
        <v>81</v>
      </c>
    </row>
    <row r="6" spans="1:3" ht="12.75">
      <c r="A6" s="2">
        <v>1</v>
      </c>
      <c r="B6" s="1" t="s">
        <v>215</v>
      </c>
      <c r="C6" s="1"/>
    </row>
    <row r="7" spans="1:3" ht="12.75">
      <c r="A7" s="2"/>
      <c r="B7" s="1" t="s">
        <v>216</v>
      </c>
      <c r="C7" s="10">
        <f>Лист6!E17</f>
        <v>6058364</v>
      </c>
    </row>
    <row r="8" spans="1:3" ht="12.75">
      <c r="A8" s="2"/>
      <c r="B8" s="1" t="s">
        <v>217</v>
      </c>
      <c r="C8" s="1">
        <f>Лист9!F7</f>
        <v>1390158</v>
      </c>
    </row>
    <row r="9" spans="1:3" ht="12.75">
      <c r="A9" s="2">
        <v>2</v>
      </c>
      <c r="B9" s="1" t="s">
        <v>218</v>
      </c>
      <c r="C9" s="1">
        <f>Лист6!E20</f>
        <v>884825</v>
      </c>
    </row>
    <row r="10" spans="1:3" ht="12.75">
      <c r="A10" s="2">
        <v>3</v>
      </c>
      <c r="B10" s="1" t="s">
        <v>219</v>
      </c>
      <c r="C10" s="1">
        <f>Лист9!B10</f>
        <v>3576200</v>
      </c>
    </row>
    <row r="11" spans="1:3" ht="12.75">
      <c r="A11" s="2">
        <v>4</v>
      </c>
      <c r="B11" s="1" t="s">
        <v>220</v>
      </c>
      <c r="C11" s="1">
        <f>Лист9!F13</f>
        <v>3906720</v>
      </c>
    </row>
    <row r="12" spans="1:3" ht="12.75">
      <c r="A12" s="2">
        <v>5</v>
      </c>
      <c r="B12" s="1" t="s">
        <v>221</v>
      </c>
      <c r="C12" s="1"/>
    </row>
    <row r="13" spans="1:3" ht="12.75">
      <c r="A13" s="2"/>
      <c r="B13" s="1" t="s">
        <v>222</v>
      </c>
      <c r="C13" s="26">
        <f>Лист9!F18</f>
        <v>567482.7000000001</v>
      </c>
    </row>
    <row r="14" spans="1:3" ht="12.75">
      <c r="A14" s="2"/>
      <c r="B14" s="1" t="s">
        <v>223</v>
      </c>
      <c r="C14" s="26">
        <f>Лист9!F22</f>
        <v>656805.6</v>
      </c>
    </row>
    <row r="15" spans="1:3" ht="12.75">
      <c r="A15" s="2">
        <v>6</v>
      </c>
      <c r="B15" s="1" t="s">
        <v>224</v>
      </c>
      <c r="C15" s="1">
        <f>Лист9!F26</f>
        <v>1482000</v>
      </c>
    </row>
    <row r="16" spans="1:3" ht="14.25">
      <c r="A16" s="27"/>
      <c r="B16" s="55" t="s">
        <v>225</v>
      </c>
      <c r="C16" s="29">
        <f>SUM(C7:C15)</f>
        <v>18522555.3</v>
      </c>
    </row>
    <row r="17" spans="1:3" ht="12.75">
      <c r="A17" s="2">
        <v>1</v>
      </c>
      <c r="B17" s="1" t="s">
        <v>226</v>
      </c>
      <c r="C17" s="1">
        <f>Лист7!G15+Лист7!H15</f>
        <v>9339020</v>
      </c>
    </row>
    <row r="18" spans="1:3" ht="12.75">
      <c r="A18" s="2">
        <v>2</v>
      </c>
      <c r="B18" s="1" t="s">
        <v>227</v>
      </c>
      <c r="C18" s="1">
        <f>Лист8!G15+Лист8!H15</f>
        <v>8866096</v>
      </c>
    </row>
    <row r="19" spans="1:3" ht="14.25">
      <c r="A19" s="2"/>
      <c r="B19" s="55" t="s">
        <v>228</v>
      </c>
      <c r="C19" s="28">
        <f>SUM(C17:C18)</f>
        <v>18205116</v>
      </c>
    </row>
    <row r="20" spans="1:3" ht="14.25">
      <c r="A20" s="2"/>
      <c r="B20" s="55" t="s">
        <v>229</v>
      </c>
      <c r="C20" s="29">
        <f>Лист11!G7</f>
        <v>7282046.4</v>
      </c>
    </row>
    <row r="21" spans="1:3" ht="14.25">
      <c r="A21" s="2"/>
      <c r="B21" s="55" t="s">
        <v>230</v>
      </c>
      <c r="C21" s="29">
        <f>Лист11!G15</f>
        <v>9757040</v>
      </c>
    </row>
    <row r="22" spans="1:3" ht="12.75">
      <c r="A22" s="2">
        <v>1</v>
      </c>
      <c r="B22" s="1" t="s">
        <v>231</v>
      </c>
      <c r="C22" s="1">
        <f>Лист12!B11</f>
        <v>1534454</v>
      </c>
    </row>
    <row r="23" spans="1:3" ht="12.75">
      <c r="A23" s="2">
        <v>2</v>
      </c>
      <c r="B23" s="1" t="s">
        <v>232</v>
      </c>
      <c r="C23" s="1">
        <f>Лист12!G7</f>
        <v>243926</v>
      </c>
    </row>
    <row r="24" spans="1:3" ht="12.75">
      <c r="A24" s="2">
        <v>3</v>
      </c>
      <c r="B24" s="1" t="s">
        <v>233</v>
      </c>
      <c r="C24" s="1">
        <f>Лист13!H10</f>
        <v>374600</v>
      </c>
    </row>
    <row r="25" spans="1:3" ht="12.75">
      <c r="A25" s="2">
        <v>4</v>
      </c>
      <c r="B25" s="1" t="s">
        <v>234</v>
      </c>
      <c r="C25" s="30">
        <v>75000</v>
      </c>
    </row>
    <row r="26" spans="1:3" ht="12.75">
      <c r="A26" s="2">
        <v>5</v>
      </c>
      <c r="B26" s="1" t="s">
        <v>235</v>
      </c>
      <c r="C26" s="26">
        <f>Лист12!G17</f>
        <v>32117647.05882353</v>
      </c>
    </row>
    <row r="27" spans="1:3" ht="12.75">
      <c r="A27" s="2">
        <v>6</v>
      </c>
      <c r="B27" s="1" t="s">
        <v>236</v>
      </c>
      <c r="C27" s="1">
        <f>Лист13!C13</f>
        <v>2917500</v>
      </c>
    </row>
    <row r="28" spans="1:3" ht="14.25">
      <c r="A28" s="2"/>
      <c r="B28" s="55" t="s">
        <v>237</v>
      </c>
      <c r="C28" s="29">
        <f>SUM(C22:C27)</f>
        <v>37263127.058823526</v>
      </c>
    </row>
    <row r="29" spans="1:3" ht="14.25">
      <c r="A29" s="2"/>
      <c r="B29" s="55" t="s">
        <v>238</v>
      </c>
      <c r="C29" s="29">
        <f>SUM(C16,C19,C20,C21,C28)</f>
        <v>91029884.75882351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15" sqref="B15"/>
    </sheetView>
  </sheetViews>
  <sheetFormatPr defaultColWidth="9.00390625" defaultRowHeight="12.75"/>
  <cols>
    <col min="1" max="1" width="35.375" style="0" customWidth="1"/>
    <col min="3" max="3" width="14.875" style="0" customWidth="1"/>
  </cols>
  <sheetData>
    <row r="1" spans="1:2" ht="12.75">
      <c r="A1" t="s">
        <v>316</v>
      </c>
      <c r="B1" t="s">
        <v>325</v>
      </c>
    </row>
    <row r="2" ht="12.75">
      <c r="A2" t="s">
        <v>0</v>
      </c>
    </row>
    <row r="3" ht="3.75" customHeight="1"/>
    <row r="4" ht="14.25">
      <c r="A4" s="39" t="s">
        <v>239</v>
      </c>
    </row>
    <row r="5" ht="10.5" customHeight="1"/>
    <row r="6" spans="2:7" ht="12.75">
      <c r="B6" s="13">
        <f>(C9/Лист14!C29)*100</f>
        <v>68.29838526624486</v>
      </c>
      <c r="C6" t="s">
        <v>181</v>
      </c>
      <c r="G6" s="24"/>
    </row>
    <row r="8" ht="6.75" customHeight="1"/>
    <row r="9" spans="1:4" ht="12.75">
      <c r="A9" s="1" t="s">
        <v>240</v>
      </c>
      <c r="B9" s="2" t="s">
        <v>241</v>
      </c>
      <c r="C9" s="44">
        <v>62171941.4</v>
      </c>
      <c r="D9" s="1" t="s">
        <v>7</v>
      </c>
    </row>
    <row r="10" ht="3.75" customHeight="1"/>
    <row r="11" ht="12.75">
      <c r="A11" t="s">
        <v>242</v>
      </c>
    </row>
    <row r="12" ht="4.5" customHeight="1"/>
    <row r="13" ht="14.25">
      <c r="A13" s="39" t="s">
        <v>243</v>
      </c>
    </row>
    <row r="15" spans="2:3" ht="12.75">
      <c r="B15" s="13">
        <f>(C18/Лист14!C29)*100</f>
        <v>31.579094795254715</v>
      </c>
      <c r="C15" t="s">
        <v>181</v>
      </c>
    </row>
    <row r="17" ht="6.75" customHeight="1"/>
    <row r="18" spans="1:4" ht="12.75">
      <c r="A18" s="1" t="s">
        <v>244</v>
      </c>
      <c r="B18" s="2" t="s">
        <v>245</v>
      </c>
      <c r="C18" s="44">
        <v>28746413.6</v>
      </c>
      <c r="D18" s="1" t="s">
        <v>7</v>
      </c>
    </row>
  </sheetData>
  <printOptions/>
  <pageMargins left="0.75" right="0.75" top="1" bottom="1" header="0.5" footer="0.5"/>
  <pageSetup orientation="portrait" paperSize="9"/>
  <legacyDrawing r:id="rId3"/>
  <oleObjects>
    <oleObject progId="Equation.3" shapeId="320026" r:id="rId1"/>
    <oleObject progId="Equation.3" shapeId="320027" r:id="rId2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F4" sqref="F4"/>
    </sheetView>
  </sheetViews>
  <sheetFormatPr defaultColWidth="9.00390625" defaultRowHeight="12.75"/>
  <cols>
    <col min="1" max="1" width="47.875" style="0" customWidth="1"/>
    <col min="2" max="2" width="3.875" style="0" customWidth="1"/>
    <col min="3" max="3" width="16.00390625" style="0" customWidth="1"/>
    <col min="5" max="5" width="2.625" style="0" customWidth="1"/>
    <col min="6" max="6" width="13.125" style="0" customWidth="1"/>
    <col min="7" max="7" width="12.75390625" style="0" bestFit="1" customWidth="1"/>
  </cols>
  <sheetData>
    <row r="1" spans="1:2" ht="12.75">
      <c r="A1" t="s">
        <v>316</v>
      </c>
      <c r="B1" t="s">
        <v>324</v>
      </c>
    </row>
    <row r="2" ht="12.75">
      <c r="A2" t="s">
        <v>0</v>
      </c>
    </row>
    <row r="3" ht="6" customHeight="1"/>
    <row r="4" spans="1:7" ht="14.25">
      <c r="A4" s="39" t="s">
        <v>246</v>
      </c>
      <c r="F4" s="47">
        <f>Лист16!F6+Лист16!F18+Лист16!F20+Лист17!E17</f>
        <v>15214799.25</v>
      </c>
      <c r="G4" t="s">
        <v>7</v>
      </c>
    </row>
    <row r="6" spans="1:7" ht="12.75">
      <c r="A6" t="s">
        <v>339</v>
      </c>
      <c r="F6" s="47">
        <f>F8*F13</f>
        <v>1735797.25</v>
      </c>
      <c r="G6" t="s">
        <v>7</v>
      </c>
    </row>
    <row r="7" ht="6.75" customHeight="1"/>
    <row r="8" spans="1:7" ht="12.75">
      <c r="A8" t="s">
        <v>247</v>
      </c>
      <c r="F8" s="47">
        <f>C10/C11</f>
        <v>144649.77083333334</v>
      </c>
      <c r="G8" t="s">
        <v>7</v>
      </c>
    </row>
    <row r="9" ht="9" customHeight="1"/>
    <row r="10" spans="1:4" ht="12.75">
      <c r="A10" s="1" t="s">
        <v>248</v>
      </c>
      <c r="B10" s="2" t="s">
        <v>249</v>
      </c>
      <c r="C10" s="45">
        <f>Лист6!E21</f>
        <v>6943189</v>
      </c>
      <c r="D10" s="1" t="s">
        <v>7</v>
      </c>
    </row>
    <row r="11" spans="1:4" ht="12.75">
      <c r="A11" s="1" t="s">
        <v>250</v>
      </c>
      <c r="B11" s="2" t="s">
        <v>37</v>
      </c>
      <c r="C11" s="30">
        <v>48</v>
      </c>
      <c r="D11" s="1"/>
    </row>
    <row r="12" ht="7.5" customHeight="1"/>
    <row r="13" spans="1:7" ht="12.75">
      <c r="A13" t="s">
        <v>251</v>
      </c>
      <c r="F13">
        <f>C15/C16</f>
        <v>12</v>
      </c>
      <c r="G13" t="s">
        <v>18</v>
      </c>
    </row>
    <row r="14" ht="7.5" customHeight="1"/>
    <row r="15" spans="1:4" ht="12.75">
      <c r="A15" s="1" t="s">
        <v>252</v>
      </c>
      <c r="B15" s="2" t="s">
        <v>253</v>
      </c>
      <c r="C15" s="30">
        <v>1560</v>
      </c>
      <c r="D15" s="1" t="s">
        <v>45</v>
      </c>
    </row>
    <row r="16" spans="1:4" ht="12.75">
      <c r="A16" s="1" t="s">
        <v>254</v>
      </c>
      <c r="B16" s="2" t="s">
        <v>255</v>
      </c>
      <c r="C16" s="30">
        <v>130</v>
      </c>
      <c r="D16" s="1" t="s">
        <v>45</v>
      </c>
    </row>
    <row r="17" ht="7.5" customHeight="1"/>
    <row r="18" spans="1:7" ht="12.75">
      <c r="A18" t="s">
        <v>256</v>
      </c>
      <c r="F18" s="47">
        <f>0.5*F6</f>
        <v>867898.625</v>
      </c>
      <c r="G18" t="s">
        <v>7</v>
      </c>
    </row>
    <row r="20" spans="1:7" ht="12.75">
      <c r="A20" t="s">
        <v>257</v>
      </c>
      <c r="F20" s="47">
        <f>Лист17!B6*Лист16!C22*Лист17!E11</f>
        <v>9568143.525</v>
      </c>
      <c r="G20" t="s">
        <v>7</v>
      </c>
    </row>
    <row r="22" spans="1:4" ht="12.75">
      <c r="A22" s="1" t="s">
        <v>258</v>
      </c>
      <c r="B22" s="2" t="s">
        <v>259</v>
      </c>
      <c r="C22" s="30">
        <v>6</v>
      </c>
      <c r="D22" s="1" t="s">
        <v>18</v>
      </c>
    </row>
  </sheetData>
  <printOptions/>
  <pageMargins left="0.75" right="0.75" top="1" bottom="1" header="0.5" footer="0.5"/>
  <pageSetup orientation="portrait" paperSize="9"/>
  <legacyDrawing r:id="rId7"/>
  <oleObjects>
    <oleObject progId="" shapeId="322631" r:id="rId1"/>
    <oleObject progId="" shapeId="322632" r:id="rId2"/>
    <oleObject progId="" shapeId="322633" r:id="rId3"/>
    <oleObject progId="" shapeId="322634" r:id="rId4"/>
    <oleObject progId="" shapeId="322635" r:id="rId5"/>
    <oleObject progId="" shapeId="322636" r:id="rId6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7" sqref="E17"/>
    </sheetView>
  </sheetViews>
  <sheetFormatPr defaultColWidth="9.00390625" defaultRowHeight="12.75"/>
  <cols>
    <col min="1" max="1" width="38.125" style="0" customWidth="1"/>
    <col min="2" max="2" width="11.75390625" style="0" bestFit="1" customWidth="1"/>
    <col min="3" max="3" width="14.00390625" style="0" customWidth="1"/>
    <col min="5" max="5" width="11.75390625" style="0" bestFit="1" customWidth="1"/>
  </cols>
  <sheetData>
    <row r="1" spans="1:2" ht="12.75">
      <c r="A1" t="s">
        <v>316</v>
      </c>
      <c r="B1" t="s">
        <v>323</v>
      </c>
    </row>
    <row r="2" ht="12.75">
      <c r="A2" t="s">
        <v>0</v>
      </c>
    </row>
    <row r="3" ht="5.25" customHeight="1"/>
    <row r="4" ht="14.25">
      <c r="A4" s="39" t="s">
        <v>260</v>
      </c>
    </row>
    <row r="5" ht="7.5" customHeight="1">
      <c r="A5" s="22"/>
    </row>
    <row r="6" spans="1:3" ht="12.75">
      <c r="A6" s="22"/>
      <c r="B6" s="47">
        <f>C8/C9</f>
        <v>1896455.9324754898</v>
      </c>
      <c r="C6" t="s">
        <v>7</v>
      </c>
    </row>
    <row r="7" ht="8.25" customHeight="1"/>
    <row r="8" spans="1:4" ht="12.75">
      <c r="A8" s="1" t="s">
        <v>261</v>
      </c>
      <c r="B8" s="2" t="s">
        <v>262</v>
      </c>
      <c r="C8" s="56">
        <f>Лист14!C29</f>
        <v>91029884.75882351</v>
      </c>
      <c r="D8" s="1" t="s">
        <v>7</v>
      </c>
    </row>
    <row r="9" spans="1:4" ht="12.75">
      <c r="A9" s="1" t="s">
        <v>250</v>
      </c>
      <c r="B9" s="2" t="s">
        <v>37</v>
      </c>
      <c r="C9" s="30">
        <v>48</v>
      </c>
      <c r="D9" s="1"/>
    </row>
    <row r="10" ht="8.25" customHeight="1"/>
    <row r="11" spans="1:6" ht="12.75">
      <c r="A11" t="s">
        <v>263</v>
      </c>
      <c r="E11" s="31">
        <f>(C14+0.5*C15)/100</f>
        <v>0.8408793266387222</v>
      </c>
      <c r="F11" t="s">
        <v>181</v>
      </c>
    </row>
    <row r="12" ht="6.75" customHeight="1"/>
    <row r="14" spans="1:4" ht="25.5">
      <c r="A14" s="8" t="s">
        <v>264</v>
      </c>
      <c r="B14" s="2" t="s">
        <v>265</v>
      </c>
      <c r="C14" s="32">
        <f>Лист15!B6</f>
        <v>68.29838526624486</v>
      </c>
      <c r="D14" s="1" t="s">
        <v>181</v>
      </c>
    </row>
    <row r="15" spans="1:4" ht="25.5">
      <c r="A15" s="8" t="s">
        <v>266</v>
      </c>
      <c r="B15" s="2" t="s">
        <v>267</v>
      </c>
      <c r="C15" s="32">
        <f>Лист15!B15</f>
        <v>31.579094795254715</v>
      </c>
      <c r="D15" s="1" t="s">
        <v>181</v>
      </c>
    </row>
    <row r="16" ht="10.5" customHeight="1"/>
    <row r="17" spans="1:6" ht="14.25">
      <c r="A17" s="39" t="s">
        <v>268</v>
      </c>
      <c r="E17" s="47">
        <f>C20*(Лист16!F6+Лист16!F18+Лист16!F20)/100</f>
        <v>3042959.85</v>
      </c>
      <c r="F17" t="s">
        <v>7</v>
      </c>
    </row>
    <row r="19" ht="6.75" customHeight="1"/>
    <row r="20" spans="1:4" ht="12.75">
      <c r="A20" s="1" t="s">
        <v>269</v>
      </c>
      <c r="B20" s="2" t="s">
        <v>184</v>
      </c>
      <c r="C20" s="33">
        <v>25</v>
      </c>
      <c r="D20" s="1" t="s">
        <v>181</v>
      </c>
    </row>
    <row r="21" spans="1:4" ht="12.75">
      <c r="A21" s="1" t="s">
        <v>270</v>
      </c>
      <c r="B21" s="2" t="s">
        <v>271</v>
      </c>
      <c r="C21" s="50">
        <v>243926000</v>
      </c>
      <c r="D21" s="1" t="s">
        <v>143</v>
      </c>
    </row>
  </sheetData>
  <printOptions/>
  <pageMargins left="0.75" right="0.75" top="1" bottom="1" header="0.5" footer="0.5"/>
  <pageSetup orientation="portrait" paperSize="9"/>
  <legacyDrawing r:id="rId4"/>
  <oleObjects>
    <oleObject progId="" shapeId="340744" r:id="rId1"/>
    <oleObject progId="" shapeId="340746" r:id="rId2"/>
    <oleObject progId="" shapeId="340747" r:id="rId3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3" sqref="C13"/>
    </sheetView>
  </sheetViews>
  <sheetFormatPr defaultColWidth="9.00390625" defaultRowHeight="12.75"/>
  <cols>
    <col min="1" max="1" width="45.375" style="0" customWidth="1"/>
    <col min="3" max="3" width="15.25390625" style="0" customWidth="1"/>
    <col min="4" max="4" width="15.00390625" style="0" customWidth="1"/>
  </cols>
  <sheetData>
    <row r="1" spans="1:2" ht="12.75">
      <c r="A1" t="s">
        <v>316</v>
      </c>
      <c r="B1" t="s">
        <v>322</v>
      </c>
    </row>
    <row r="2" ht="12.75">
      <c r="A2" t="s">
        <v>0</v>
      </c>
    </row>
    <row r="3" ht="6.75" customHeight="1"/>
    <row r="4" spans="1:5" ht="14.25">
      <c r="A4" s="39" t="s">
        <v>272</v>
      </c>
      <c r="D4" s="47">
        <f>C7-C6</f>
        <v>103470115.24117649</v>
      </c>
      <c r="E4" t="s">
        <v>7</v>
      </c>
    </row>
    <row r="5" ht="9.75" customHeight="1"/>
    <row r="6" spans="1:4" ht="12.75">
      <c r="A6" s="1" t="s">
        <v>273</v>
      </c>
      <c r="B6" s="2" t="s">
        <v>262</v>
      </c>
      <c r="C6" s="45">
        <f>Лист14!C29</f>
        <v>91029884.75882351</v>
      </c>
      <c r="D6" s="1" t="s">
        <v>7</v>
      </c>
    </row>
    <row r="7" spans="1:4" ht="12.75">
      <c r="A7" s="1" t="s">
        <v>274</v>
      </c>
      <c r="B7" s="2" t="s">
        <v>275</v>
      </c>
      <c r="C7" s="45">
        <f>Лист3!E15*1000</f>
        <v>194500000</v>
      </c>
      <c r="D7" s="1" t="s">
        <v>7</v>
      </c>
    </row>
    <row r="8" ht="6.75" customHeight="1"/>
    <row r="10" spans="1:4" ht="14.25">
      <c r="A10" s="39" t="s">
        <v>276</v>
      </c>
      <c r="C10" s="13">
        <f>D4/C6*100</f>
        <v>113.66609494817266</v>
      </c>
      <c r="D10" t="s">
        <v>181</v>
      </c>
    </row>
    <row r="13" spans="1:4" ht="14.25">
      <c r="A13" s="39" t="s">
        <v>277</v>
      </c>
      <c r="C13" s="3">
        <f>D4/(Лист17!C21+Лист16!F4)*100</f>
        <v>39.92814544858918</v>
      </c>
      <c r="D13" t="s">
        <v>181</v>
      </c>
    </row>
    <row r="16" spans="1:4" ht="14.25">
      <c r="A16" s="39" t="s">
        <v>278</v>
      </c>
      <c r="C16" s="13">
        <f>D4/Лист17!C21</f>
        <v>0.4241864960733029</v>
      </c>
      <c r="D16" t="s">
        <v>7</v>
      </c>
    </row>
    <row r="19" spans="1:4" ht="14.25">
      <c r="A19" s="39" t="s">
        <v>279</v>
      </c>
      <c r="C19" s="31">
        <f>1/C16</f>
        <v>2.3574536418698058</v>
      </c>
      <c r="D19" t="s">
        <v>7</v>
      </c>
    </row>
  </sheetData>
  <printOptions/>
  <pageMargins left="0.75" right="0.75" top="1" bottom="1" header="0.5" footer="0.5"/>
  <pageSetup orientation="portrait" paperSize="9"/>
  <legacyDrawing r:id="rId6"/>
  <oleObjects>
    <oleObject progId="" shapeId="358428" r:id="rId1"/>
    <oleObject progId="" shapeId="358429" r:id="rId2"/>
    <oleObject progId="" shapeId="358430" r:id="rId3"/>
    <oleObject progId="" shapeId="358431" r:id="rId4"/>
    <oleObject progId="" shapeId="358432" r:id="rId5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35.25390625" style="0" customWidth="1"/>
    <col min="2" max="2" width="14.25390625" style="0" customWidth="1"/>
    <col min="3" max="3" width="10.125" style="0" customWidth="1"/>
    <col min="6" max="10" width="9.875" style="0" customWidth="1"/>
  </cols>
  <sheetData>
    <row r="1" spans="1:2" ht="12.75">
      <c r="A1" t="s">
        <v>316</v>
      </c>
      <c r="B1" t="s">
        <v>321</v>
      </c>
    </row>
    <row r="2" ht="12.75">
      <c r="A2" t="s">
        <v>0</v>
      </c>
    </row>
    <row r="3" ht="5.25" customHeight="1"/>
    <row r="4" spans="1:3" ht="12.75">
      <c r="A4" s="1" t="s">
        <v>281</v>
      </c>
      <c r="B4" s="2" t="s">
        <v>282</v>
      </c>
      <c r="C4" s="30">
        <v>10</v>
      </c>
    </row>
    <row r="5" spans="1:2" ht="4.5" customHeight="1">
      <c r="A5" s="9"/>
      <c r="B5" s="53"/>
    </row>
    <row r="6" spans="1:2" ht="12.75">
      <c r="A6" s="9"/>
      <c r="B6" s="53"/>
    </row>
    <row r="7" spans="1:3" ht="14.25">
      <c r="A7" s="39" t="s">
        <v>280</v>
      </c>
      <c r="B7" s="47">
        <f>Лист17!C21/Лист19!C4</f>
        <v>24392600</v>
      </c>
      <c r="C7" t="s">
        <v>7</v>
      </c>
    </row>
    <row r="8" ht="12.75">
      <c r="A8" s="22"/>
    </row>
    <row r="9" ht="5.25" customHeight="1"/>
    <row r="10" spans="1:3" ht="12.75">
      <c r="A10" s="1" t="s">
        <v>285</v>
      </c>
      <c r="B10" s="2" t="s">
        <v>286</v>
      </c>
      <c r="C10" s="30">
        <v>22</v>
      </c>
    </row>
    <row r="11" ht="5.25" customHeight="1"/>
    <row r="12" ht="14.25">
      <c r="A12" s="39" t="s">
        <v>283</v>
      </c>
    </row>
    <row r="14" spans="2:3" ht="12.75">
      <c r="B14" s="47">
        <f>Лист18!C7/Лист19!C10</f>
        <v>8840909.090909092</v>
      </c>
      <c r="C14" t="s">
        <v>284</v>
      </c>
    </row>
    <row r="16" ht="4.5" customHeight="1"/>
    <row r="17" spans="1:3" ht="12.75">
      <c r="A17" s="1" t="s">
        <v>288</v>
      </c>
      <c r="B17" s="2" t="s">
        <v>289</v>
      </c>
      <c r="C17" s="38">
        <v>16</v>
      </c>
    </row>
    <row r="18" spans="1:2" ht="4.5" customHeight="1">
      <c r="A18" s="9"/>
      <c r="B18" s="53"/>
    </row>
    <row r="19" ht="14.25">
      <c r="A19" s="39" t="s">
        <v>287</v>
      </c>
    </row>
    <row r="21" spans="2:3" ht="12.75">
      <c r="B21" s="47">
        <f>Лист18!C7/Лист19!C17</f>
        <v>12156250</v>
      </c>
      <c r="C21" t="s">
        <v>143</v>
      </c>
    </row>
  </sheetData>
  <printOptions/>
  <pageMargins left="0.75" right="0.75" top="1" bottom="1" header="0.5" footer="0.5"/>
  <pageSetup orientation="portrait" paperSize="9"/>
  <legacyDrawing r:id="rId4"/>
  <oleObjects>
    <oleObject progId="" shapeId="381702" r:id="rId1"/>
    <oleObject progId="" shapeId="381703" r:id="rId2"/>
    <oleObject progId="" shapeId="38170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14" sqref="F14"/>
    </sheetView>
  </sheetViews>
  <sheetFormatPr defaultColWidth="9.00390625" defaultRowHeight="12.75"/>
  <cols>
    <col min="1" max="1" width="4.75390625" style="0" customWidth="1"/>
    <col min="2" max="2" width="25.875" style="0" customWidth="1"/>
    <col min="3" max="3" width="7.125" style="0" customWidth="1"/>
    <col min="4" max="4" width="10.00390625" style="0" customWidth="1"/>
    <col min="5" max="5" width="14.625" style="0" customWidth="1"/>
    <col min="6" max="6" width="11.75390625" style="0" customWidth="1"/>
  </cols>
  <sheetData>
    <row r="1" spans="1:3" ht="12.75">
      <c r="A1" t="s">
        <v>316</v>
      </c>
      <c r="C1" t="s">
        <v>335</v>
      </c>
    </row>
    <row r="2" ht="12.75">
      <c r="A2" t="s">
        <v>0</v>
      </c>
    </row>
    <row r="4" spans="1:9" ht="14.25">
      <c r="A4" s="39" t="s">
        <v>29</v>
      </c>
      <c r="H4" s="4"/>
      <c r="I4" s="4"/>
    </row>
    <row r="5" spans="1:6" ht="50.25" customHeight="1">
      <c r="A5" s="5" t="s">
        <v>30</v>
      </c>
      <c r="B5" s="5" t="s">
        <v>31</v>
      </c>
      <c r="C5" s="5" t="s">
        <v>32</v>
      </c>
      <c r="D5" s="5" t="s">
        <v>33</v>
      </c>
      <c r="E5" s="5" t="s">
        <v>34</v>
      </c>
      <c r="F5" s="5" t="s">
        <v>35</v>
      </c>
    </row>
    <row r="6" spans="1:6" ht="12.75">
      <c r="A6" s="5"/>
      <c r="B6" s="5"/>
      <c r="C6" s="2" t="s">
        <v>37</v>
      </c>
      <c r="D6" s="2" t="s">
        <v>38</v>
      </c>
      <c r="E6" s="2" t="s">
        <v>39</v>
      </c>
      <c r="F6" s="2" t="s">
        <v>40</v>
      </c>
    </row>
    <row r="7" spans="1:6" ht="12.75">
      <c r="A7" s="7">
        <v>1</v>
      </c>
      <c r="B7" s="8" t="s">
        <v>41</v>
      </c>
      <c r="C7" s="35">
        <v>2</v>
      </c>
      <c r="D7" s="35">
        <v>50</v>
      </c>
      <c r="E7" s="43">
        <f>Лист4!$E$15</f>
        <v>3770</v>
      </c>
      <c r="F7" s="43">
        <f>C7*D7*E7</f>
        <v>377000</v>
      </c>
    </row>
    <row r="8" spans="1:6" ht="12.75">
      <c r="A8" s="7">
        <v>2</v>
      </c>
      <c r="B8" s="8" t="s">
        <v>43</v>
      </c>
      <c r="C8" s="35">
        <v>2</v>
      </c>
      <c r="D8" s="35">
        <v>40</v>
      </c>
      <c r="E8" s="43">
        <f>Лист4!$E$15</f>
        <v>3770</v>
      </c>
      <c r="F8" s="43">
        <f aca="true" t="shared" si="0" ref="F8:F14">C8*D8*E8</f>
        <v>301600</v>
      </c>
    </row>
    <row r="9" spans="1:6" ht="12.75">
      <c r="A9" s="7">
        <v>3</v>
      </c>
      <c r="B9" s="8" t="s">
        <v>44</v>
      </c>
      <c r="C9" s="35">
        <v>2</v>
      </c>
      <c r="D9" s="35">
        <v>23.5</v>
      </c>
      <c r="E9" s="43">
        <f>Лист4!$E$15</f>
        <v>3770</v>
      </c>
      <c r="F9" s="43">
        <f t="shared" si="0"/>
        <v>177190</v>
      </c>
    </row>
    <row r="10" spans="1:6" ht="12.75">
      <c r="A10" s="7">
        <v>4</v>
      </c>
      <c r="B10" s="8" t="s">
        <v>46</v>
      </c>
      <c r="C10" s="35">
        <v>2</v>
      </c>
      <c r="D10" s="35">
        <v>17.5</v>
      </c>
      <c r="E10" s="43">
        <f>Лист4!$E$15</f>
        <v>3770</v>
      </c>
      <c r="F10" s="43">
        <f t="shared" si="0"/>
        <v>131950</v>
      </c>
    </row>
    <row r="11" spans="1:6" ht="12.75">
      <c r="A11" s="7">
        <v>5</v>
      </c>
      <c r="B11" s="8" t="s">
        <v>47</v>
      </c>
      <c r="C11" s="35">
        <v>1</v>
      </c>
      <c r="D11" s="35">
        <v>15</v>
      </c>
      <c r="E11" s="43">
        <f>Лист4!$E$15</f>
        <v>3770</v>
      </c>
      <c r="F11" s="43">
        <f t="shared" si="0"/>
        <v>56550</v>
      </c>
    </row>
    <row r="12" spans="1:6" ht="25.5">
      <c r="A12" s="7">
        <v>6</v>
      </c>
      <c r="B12" s="8" t="s">
        <v>49</v>
      </c>
      <c r="C12" s="35">
        <v>1</v>
      </c>
      <c r="D12" s="35">
        <v>32</v>
      </c>
      <c r="E12" s="43">
        <f>Лист4!$E$15</f>
        <v>3770</v>
      </c>
      <c r="F12" s="43">
        <f t="shared" si="0"/>
        <v>120640</v>
      </c>
    </row>
    <row r="13" spans="1:6" ht="25.5">
      <c r="A13" s="7">
        <v>7</v>
      </c>
      <c r="B13" s="8" t="s">
        <v>50</v>
      </c>
      <c r="C13" s="35">
        <v>8</v>
      </c>
      <c r="D13" s="35">
        <v>10</v>
      </c>
      <c r="E13" s="43">
        <f>Лист4!$E$15</f>
        <v>3770</v>
      </c>
      <c r="F13" s="43">
        <f t="shared" si="0"/>
        <v>301600</v>
      </c>
    </row>
    <row r="14" spans="1:6" ht="25.5">
      <c r="A14" s="7">
        <v>8</v>
      </c>
      <c r="B14" s="8" t="s">
        <v>51</v>
      </c>
      <c r="C14" s="35">
        <v>4</v>
      </c>
      <c r="D14" s="35">
        <v>22.5</v>
      </c>
      <c r="E14" s="43">
        <f>Лист4!$E$15</f>
        <v>3770</v>
      </c>
      <c r="F14" s="43">
        <f t="shared" si="0"/>
        <v>339300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19" sqref="E19"/>
    </sheetView>
  </sheetViews>
  <sheetFormatPr defaultColWidth="9.00390625" defaultRowHeight="12.75"/>
  <cols>
    <col min="4" max="4" width="13.625" style="0" customWidth="1"/>
    <col min="5" max="5" width="13.75390625" style="0" customWidth="1"/>
    <col min="7" max="7" width="29.625" style="0" customWidth="1"/>
    <col min="9" max="9" width="14.125" style="0" customWidth="1"/>
  </cols>
  <sheetData>
    <row r="1" spans="1:3" ht="12.75">
      <c r="A1" t="s">
        <v>316</v>
      </c>
      <c r="C1" t="s">
        <v>320</v>
      </c>
    </row>
    <row r="2" ht="12.75">
      <c r="A2" t="s">
        <v>0</v>
      </c>
    </row>
    <row r="3" ht="6" customHeight="1"/>
    <row r="4" ht="14.25">
      <c r="A4" s="39" t="s">
        <v>290</v>
      </c>
    </row>
    <row r="6" spans="3:4" ht="12.75">
      <c r="C6" s="31">
        <f>Лист18!C6/Лист18!C7</f>
        <v>0.4680199730530772</v>
      </c>
      <c r="D6" t="s">
        <v>7</v>
      </c>
    </row>
    <row r="8" ht="8.25" customHeight="1"/>
    <row r="9" ht="14.25">
      <c r="A9" s="39" t="s">
        <v>291</v>
      </c>
    </row>
    <row r="10" ht="6.75" customHeight="1"/>
    <row r="11" spans="4:5" ht="12.75">
      <c r="D11" s="47">
        <f>Лист18!D4-Лист16!F20</f>
        <v>93901971.71617648</v>
      </c>
      <c r="E11" t="s">
        <v>7</v>
      </c>
    </row>
    <row r="13" ht="12.75">
      <c r="A13" t="s">
        <v>292</v>
      </c>
    </row>
    <row r="15" spans="4:5" ht="12.75">
      <c r="D15" s="47">
        <f>Лист18!D4*35/100</f>
        <v>36214540.33441177</v>
      </c>
      <c r="E15" t="s">
        <v>7</v>
      </c>
    </row>
    <row r="17" ht="4.5" customHeight="1"/>
    <row r="19" spans="1:6" ht="12.75">
      <c r="A19" t="s">
        <v>295</v>
      </c>
      <c r="E19" s="47">
        <f>Лист21!C27*(Лист21!C25-Лист21!C26)/100</f>
        <v>39054945.29</v>
      </c>
      <c r="F19" t="s">
        <v>7</v>
      </c>
    </row>
  </sheetData>
  <printOptions/>
  <pageMargins left="0.75" right="0.75" top="1" bottom="1" header="0.5" footer="0.5"/>
  <pageSetup orientation="portrait" paperSize="9"/>
  <legacyDrawing r:id="rId5"/>
  <oleObjects>
    <oleObject progId="" shapeId="410854" r:id="rId1"/>
    <oleObject progId="Equation.3" shapeId="410856" r:id="rId2"/>
    <oleObject progId="Equation.3" shapeId="410857" r:id="rId3"/>
    <oleObject progId="Equation.3" shapeId="410858" r:id="rId4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22" sqref="C22"/>
    </sheetView>
  </sheetViews>
  <sheetFormatPr defaultColWidth="9.00390625" defaultRowHeight="12.75"/>
  <cols>
    <col min="1" max="1" width="34.25390625" style="0" customWidth="1"/>
    <col min="2" max="2" width="5.00390625" style="0" customWidth="1"/>
    <col min="3" max="3" width="15.125" style="0" customWidth="1"/>
    <col min="4" max="4" width="6.00390625" style="0" customWidth="1"/>
    <col min="7" max="7" width="11.75390625" style="0" bestFit="1" customWidth="1"/>
  </cols>
  <sheetData>
    <row r="1" spans="1:2" ht="12.75">
      <c r="A1" t="s">
        <v>316</v>
      </c>
      <c r="B1" t="s">
        <v>319</v>
      </c>
    </row>
    <row r="2" ht="12.75">
      <c r="A2" t="s">
        <v>0</v>
      </c>
    </row>
    <row r="4" ht="12.75">
      <c r="A4" t="s">
        <v>299</v>
      </c>
    </row>
    <row r="5" ht="4.5" customHeight="1"/>
    <row r="6" spans="1:8" ht="12.75">
      <c r="A6" s="1" t="s">
        <v>300</v>
      </c>
      <c r="B6" s="2" t="s">
        <v>184</v>
      </c>
      <c r="C6" s="30">
        <v>20</v>
      </c>
      <c r="D6" s="1" t="s">
        <v>181</v>
      </c>
      <c r="G6" s="47">
        <f>C6*C7/100</f>
        <v>1600000</v>
      </c>
      <c r="H6" t="s">
        <v>7</v>
      </c>
    </row>
    <row r="7" spans="1:4" ht="12.75">
      <c r="A7" s="1" t="s">
        <v>301</v>
      </c>
      <c r="B7" s="2" t="s">
        <v>302</v>
      </c>
      <c r="C7" s="44">
        <v>8000000</v>
      </c>
      <c r="D7" s="1" t="s">
        <v>7</v>
      </c>
    </row>
    <row r="9" ht="12.75">
      <c r="A9" t="s">
        <v>303</v>
      </c>
    </row>
    <row r="10" ht="12.75">
      <c r="A10" t="s">
        <v>304</v>
      </c>
    </row>
    <row r="11" ht="4.5" customHeight="1"/>
    <row r="12" spans="1:4" ht="12.75">
      <c r="A12" s="1" t="s">
        <v>342</v>
      </c>
      <c r="B12" s="2" t="s">
        <v>6</v>
      </c>
      <c r="C12" s="45">
        <f>(Лист13!C19+Лист13!C20)/2</f>
        <v>27450</v>
      </c>
      <c r="D12" s="1" t="s">
        <v>7</v>
      </c>
    </row>
    <row r="13" spans="1:8" ht="12.75">
      <c r="A13" s="1" t="s">
        <v>305</v>
      </c>
      <c r="B13" s="2" t="s">
        <v>136</v>
      </c>
      <c r="C13" s="30">
        <v>3</v>
      </c>
      <c r="D13" s="1" t="s">
        <v>181</v>
      </c>
      <c r="G13" s="47">
        <f>C13*(C12*C14)/100</f>
        <v>13176</v>
      </c>
      <c r="H13" t="s">
        <v>7</v>
      </c>
    </row>
    <row r="14" spans="1:4" ht="12.75">
      <c r="A14" s="1" t="s">
        <v>306</v>
      </c>
      <c r="B14" s="2" t="s">
        <v>37</v>
      </c>
      <c r="C14" s="30">
        <v>16</v>
      </c>
      <c r="D14" s="1"/>
    </row>
    <row r="16" ht="12.75">
      <c r="A16" t="s">
        <v>307</v>
      </c>
    </row>
    <row r="17" ht="3.75" customHeight="1"/>
    <row r="18" spans="1:4" ht="12.75">
      <c r="A18" s="1" t="s">
        <v>308</v>
      </c>
      <c r="B18" s="2" t="s">
        <v>309</v>
      </c>
      <c r="C18" s="45">
        <f>Лист14!C19</f>
        <v>18205116</v>
      </c>
      <c r="D18" s="1" t="s">
        <v>7</v>
      </c>
    </row>
    <row r="19" spans="1:4" ht="25.5">
      <c r="A19" s="8" t="s">
        <v>310</v>
      </c>
      <c r="B19" s="2" t="s">
        <v>192</v>
      </c>
      <c r="C19" s="30">
        <v>2</v>
      </c>
      <c r="D19" s="1"/>
    </row>
    <row r="22" spans="3:4" ht="12.75">
      <c r="C22" s="47">
        <f>(C18-C19*(6*C12*Лист19!C17))*35/100</f>
        <v>4527150.6</v>
      </c>
      <c r="D22" t="s">
        <v>7</v>
      </c>
    </row>
    <row r="25" spans="1:3" ht="12.75">
      <c r="A25" s="1" t="s">
        <v>293</v>
      </c>
      <c r="B25" s="2" t="s">
        <v>294</v>
      </c>
      <c r="C25" s="45">
        <f>Лист3!E15*1000</f>
        <v>194500000</v>
      </c>
    </row>
    <row r="26" spans="1:3" ht="12.75">
      <c r="A26" s="1" t="s">
        <v>296</v>
      </c>
      <c r="B26" s="2" t="s">
        <v>297</v>
      </c>
      <c r="C26" s="44">
        <v>18972156</v>
      </c>
    </row>
    <row r="27" spans="1:3" ht="12.75">
      <c r="A27" s="1" t="s">
        <v>298</v>
      </c>
      <c r="B27" s="2" t="s">
        <v>184</v>
      </c>
      <c r="C27" s="44">
        <v>22.25</v>
      </c>
    </row>
  </sheetData>
  <printOptions/>
  <pageMargins left="0.75" right="0.75" top="1" bottom="1" header="0.5" footer="0.5"/>
  <pageSetup orientation="portrait" paperSize="9"/>
  <legacyDrawing r:id="rId4"/>
  <oleObjects>
    <oleObject progId="Equation.3" shapeId="436335" r:id="rId1"/>
    <oleObject progId="Equation.3" shapeId="436336" r:id="rId2"/>
    <oleObject progId="Equation.3" shapeId="436337" r:id="rId3"/>
  </oleObjects>
</worksheet>
</file>

<file path=xl/worksheets/sheet2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8" sqref="A18"/>
    </sheetView>
  </sheetViews>
  <sheetFormatPr defaultColWidth="9.00390625" defaultRowHeight="12.75"/>
  <cols>
    <col min="1" max="1" width="28.125" style="0" customWidth="1"/>
    <col min="2" max="2" width="11.75390625" style="0" bestFit="1" customWidth="1"/>
    <col min="4" max="4" width="13.625" style="0" customWidth="1"/>
  </cols>
  <sheetData>
    <row r="1" spans="1:2" ht="12.75">
      <c r="A1" t="s">
        <v>316</v>
      </c>
      <c r="B1" t="s">
        <v>318</v>
      </c>
    </row>
    <row r="2" ht="12.75">
      <c r="A2" t="s">
        <v>0</v>
      </c>
    </row>
    <row r="3" ht="4.5" customHeight="1"/>
    <row r="4" ht="12.75">
      <c r="A4" t="s">
        <v>311</v>
      </c>
    </row>
    <row r="5" ht="3" customHeight="1"/>
    <row r="6" spans="1:4" ht="12.75">
      <c r="A6" s="1" t="s">
        <v>203</v>
      </c>
      <c r="B6" s="2" t="s">
        <v>184</v>
      </c>
      <c r="C6" s="30">
        <v>1.5</v>
      </c>
      <c r="D6" s="1" t="s">
        <v>181</v>
      </c>
    </row>
    <row r="8" spans="2:3" ht="12.75">
      <c r="B8" s="47">
        <f>C6*Лист18!C7/100</f>
        <v>2917500</v>
      </c>
      <c r="C8" t="s">
        <v>7</v>
      </c>
    </row>
    <row r="10" ht="3.75" customHeight="1"/>
    <row r="11" ht="12.75">
      <c r="A11" t="s">
        <v>312</v>
      </c>
    </row>
    <row r="12" ht="4.5" customHeight="1"/>
    <row r="13" spans="1:4" ht="12.75">
      <c r="A13" s="1" t="s">
        <v>305</v>
      </c>
      <c r="B13" s="2" t="s">
        <v>313</v>
      </c>
      <c r="C13" s="30">
        <v>1</v>
      </c>
      <c r="D13" s="1" t="s">
        <v>181</v>
      </c>
    </row>
    <row r="15" spans="2:3" ht="12.75">
      <c r="B15" s="47">
        <f>Лист21!C18*Лист22!C13/100</f>
        <v>182051.16</v>
      </c>
      <c r="C15" t="s">
        <v>7</v>
      </c>
    </row>
    <row r="17" ht="4.5" customHeight="1"/>
    <row r="18" spans="1:5" ht="12.75">
      <c r="A18" t="s">
        <v>314</v>
      </c>
      <c r="D18" s="47">
        <f>Лист20!D15+Лист20!E19+Лист21!G6+Лист21!G13+Лист21!C22+Лист22!B8+Лист22!B15</f>
        <v>84509363.38441175</v>
      </c>
      <c r="E18" t="s">
        <v>143</v>
      </c>
    </row>
  </sheetData>
  <printOptions/>
  <pageMargins left="0.75" right="0.75" top="1" bottom="1" header="0.5" footer="0.5"/>
  <pageSetup orientation="portrait" paperSize="9"/>
  <legacyDrawing r:id="rId3"/>
  <oleObjects>
    <oleObject progId="Equation.3" shapeId="440325" r:id="rId1"/>
    <oleObject progId="Equation.3" shapeId="44032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8" sqref="H8"/>
    </sheetView>
  </sheetViews>
  <sheetFormatPr defaultColWidth="9.00390625" defaultRowHeight="12.75"/>
  <cols>
    <col min="1" max="1" width="4.25390625" style="0" customWidth="1"/>
    <col min="2" max="2" width="42.875" style="0" customWidth="1"/>
    <col min="3" max="4" width="9.25390625" style="0" bestFit="1" customWidth="1"/>
    <col min="5" max="5" width="10.125" style="0" bestFit="1" customWidth="1"/>
    <col min="6" max="7" width="9.25390625" style="0" bestFit="1" customWidth="1"/>
    <col min="8" max="8" width="12.00390625" style="0" customWidth="1"/>
  </cols>
  <sheetData>
    <row r="1" spans="1:3" ht="12.75">
      <c r="A1" t="s">
        <v>316</v>
      </c>
      <c r="C1" t="s">
        <v>335</v>
      </c>
    </row>
    <row r="2" ht="12.75">
      <c r="A2" t="s">
        <v>0</v>
      </c>
    </row>
    <row r="4" ht="14.25">
      <c r="A4" s="39" t="s">
        <v>54</v>
      </c>
    </row>
    <row r="5" spans="1:8" ht="38.25">
      <c r="A5" s="11" t="s">
        <v>30</v>
      </c>
      <c r="B5" s="11" t="s">
        <v>31</v>
      </c>
      <c r="C5" s="11" t="s">
        <v>55</v>
      </c>
      <c r="D5" s="11" t="s">
        <v>56</v>
      </c>
      <c r="E5" s="11" t="s">
        <v>57</v>
      </c>
      <c r="F5" s="11" t="s">
        <v>58</v>
      </c>
      <c r="G5" s="58" t="s">
        <v>59</v>
      </c>
      <c r="H5" s="58"/>
    </row>
    <row r="6" spans="1:8" ht="37.5" customHeight="1">
      <c r="A6" s="12"/>
      <c r="B6" s="12"/>
      <c r="C6" s="12"/>
      <c r="D6" s="12"/>
      <c r="E6" s="12"/>
      <c r="F6" s="12"/>
      <c r="G6" s="5" t="s">
        <v>60</v>
      </c>
      <c r="H6" s="5" t="s">
        <v>75</v>
      </c>
    </row>
    <row r="7" spans="1:8" ht="12.75">
      <c r="A7" s="1"/>
      <c r="B7" s="1"/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</row>
    <row r="8" spans="1:8" ht="12.75">
      <c r="A8" s="2">
        <v>1</v>
      </c>
      <c r="B8" s="1" t="s">
        <v>67</v>
      </c>
      <c r="C8" s="44">
        <v>432</v>
      </c>
      <c r="D8" s="44">
        <v>93.75</v>
      </c>
      <c r="E8" s="45">
        <f>C8*D8</f>
        <v>40500</v>
      </c>
      <c r="F8" s="44">
        <v>5</v>
      </c>
      <c r="G8" s="45">
        <f>C8*F8</f>
        <v>2160</v>
      </c>
      <c r="H8" s="45">
        <f>C8*F8*1.4</f>
        <v>3024</v>
      </c>
    </row>
    <row r="9" spans="1:8" ht="12.75">
      <c r="A9" s="2">
        <v>2</v>
      </c>
      <c r="B9" s="1" t="s">
        <v>68</v>
      </c>
      <c r="C9" s="44">
        <v>2000</v>
      </c>
      <c r="D9" s="44">
        <v>10.5</v>
      </c>
      <c r="E9" s="45">
        <f aca="true" t="shared" si="0" ref="E9:E14">C9*D9</f>
        <v>21000</v>
      </c>
      <c r="F9" s="44">
        <v>0.2</v>
      </c>
      <c r="G9" s="45">
        <f aca="true" t="shared" si="1" ref="G9:G14">C9*F9</f>
        <v>400</v>
      </c>
      <c r="H9" s="45">
        <f aca="true" t="shared" si="2" ref="H9:H14">C9*F9*1.4</f>
        <v>560</v>
      </c>
    </row>
    <row r="10" spans="1:8" ht="12.75">
      <c r="A10" s="2">
        <v>3</v>
      </c>
      <c r="B10" s="1" t="s">
        <v>69</v>
      </c>
      <c r="C10" s="44">
        <v>20</v>
      </c>
      <c r="D10" s="44">
        <v>700</v>
      </c>
      <c r="E10" s="45">
        <f t="shared" si="0"/>
        <v>14000</v>
      </c>
      <c r="F10" s="44">
        <v>1.2</v>
      </c>
      <c r="G10" s="45">
        <f t="shared" si="1"/>
        <v>24</v>
      </c>
      <c r="H10" s="45">
        <f t="shared" si="2"/>
        <v>33.599999999999994</v>
      </c>
    </row>
    <row r="11" spans="1:8" ht="12.75">
      <c r="A11" s="2">
        <v>4</v>
      </c>
      <c r="B11" s="1" t="s">
        <v>70</v>
      </c>
      <c r="C11" s="44">
        <v>180</v>
      </c>
      <c r="D11" s="44">
        <v>42.5</v>
      </c>
      <c r="E11" s="45">
        <f t="shared" si="0"/>
        <v>7650</v>
      </c>
      <c r="F11" s="44">
        <v>0.9</v>
      </c>
      <c r="G11" s="45">
        <f t="shared" si="1"/>
        <v>162</v>
      </c>
      <c r="H11" s="45">
        <f t="shared" si="2"/>
        <v>226.79999999999998</v>
      </c>
    </row>
    <row r="12" spans="1:8" ht="12.75">
      <c r="A12" s="2">
        <v>5</v>
      </c>
      <c r="B12" s="1" t="s">
        <v>71</v>
      </c>
      <c r="C12" s="44">
        <v>12</v>
      </c>
      <c r="D12" s="44">
        <v>1975</v>
      </c>
      <c r="E12" s="45">
        <f t="shared" si="0"/>
        <v>23700</v>
      </c>
      <c r="F12" s="44">
        <v>38</v>
      </c>
      <c r="G12" s="45">
        <f t="shared" si="1"/>
        <v>456</v>
      </c>
      <c r="H12" s="45">
        <f t="shared" si="2"/>
        <v>638.4</v>
      </c>
    </row>
    <row r="13" spans="1:8" ht="12.75">
      <c r="A13" s="2">
        <v>6</v>
      </c>
      <c r="B13" s="1" t="s">
        <v>72</v>
      </c>
      <c r="C13" s="44">
        <v>28</v>
      </c>
      <c r="D13" s="44">
        <v>2687.5</v>
      </c>
      <c r="E13" s="45">
        <f t="shared" si="0"/>
        <v>75250</v>
      </c>
      <c r="F13" s="44">
        <v>33.75</v>
      </c>
      <c r="G13" s="45">
        <f t="shared" si="1"/>
        <v>945</v>
      </c>
      <c r="H13" s="45">
        <f t="shared" si="2"/>
        <v>1323</v>
      </c>
    </row>
    <row r="14" spans="1:8" ht="12.75">
      <c r="A14" s="2">
        <v>7</v>
      </c>
      <c r="B14" s="1" t="s">
        <v>73</v>
      </c>
      <c r="C14" s="44">
        <v>2</v>
      </c>
      <c r="D14" s="44">
        <v>6200</v>
      </c>
      <c r="E14" s="45">
        <f t="shared" si="0"/>
        <v>12400</v>
      </c>
      <c r="F14" s="44">
        <v>160</v>
      </c>
      <c r="G14" s="45">
        <f t="shared" si="1"/>
        <v>320</v>
      </c>
      <c r="H14" s="45">
        <f t="shared" si="2"/>
        <v>448</v>
      </c>
    </row>
    <row r="15" spans="1:8" ht="12.75">
      <c r="A15" s="2"/>
      <c r="B15" s="1" t="s">
        <v>74</v>
      </c>
      <c r="C15" s="46"/>
      <c r="D15" s="46"/>
      <c r="E15" s="46">
        <f>SUM(E8:E14)</f>
        <v>194500</v>
      </c>
      <c r="F15" s="46"/>
      <c r="G15" s="46">
        <f>SUM(G8:G14)</f>
        <v>4467</v>
      </c>
      <c r="H15" s="46">
        <f>SUM(H8:H14)</f>
        <v>6253.8</v>
      </c>
    </row>
  </sheetData>
  <mergeCells count="1">
    <mergeCell ref="G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H10" sqref="H10"/>
    </sheetView>
  </sheetViews>
  <sheetFormatPr defaultColWidth="9.00390625" defaultRowHeight="12.75"/>
  <sheetData>
    <row r="1" spans="1:3" ht="12.75">
      <c r="A1" t="s">
        <v>316</v>
      </c>
      <c r="C1" t="s">
        <v>334</v>
      </c>
    </row>
    <row r="2" ht="12.75">
      <c r="A2" t="s">
        <v>0</v>
      </c>
    </row>
    <row r="5" spans="1:9" ht="12.75">
      <c r="A5" s="40" t="s">
        <v>23</v>
      </c>
      <c r="H5" s="3">
        <f>H10-H8</f>
        <v>289.75</v>
      </c>
      <c r="I5" t="s">
        <v>18</v>
      </c>
    </row>
    <row r="8" spans="1:9" ht="12.75">
      <c r="A8" t="s">
        <v>24</v>
      </c>
      <c r="H8" s="3">
        <f>(5/100*H10)/(100/100)</f>
        <v>15.25</v>
      </c>
      <c r="I8" t="s">
        <v>18</v>
      </c>
    </row>
    <row r="10" spans="1:9" ht="12.75">
      <c r="A10" t="s">
        <v>25</v>
      </c>
      <c r="H10">
        <f>Лист1!C10-Лист1!C11-Лист1!C12</f>
        <v>305</v>
      </c>
      <c r="I10" t="s">
        <v>18</v>
      </c>
    </row>
    <row r="12" spans="1:7" ht="12.75">
      <c r="A12" t="s">
        <v>26</v>
      </c>
      <c r="F12">
        <v>290</v>
      </c>
      <c r="G12" t="s">
        <v>18</v>
      </c>
    </row>
    <row r="13" spans="1:7" ht="12.75">
      <c r="A13" t="s">
        <v>76</v>
      </c>
      <c r="F13">
        <v>13</v>
      </c>
      <c r="G13" t="s">
        <v>27</v>
      </c>
    </row>
    <row r="15" spans="5:6" ht="12.75">
      <c r="E15">
        <f>F12*F13</f>
        <v>3770</v>
      </c>
      <c r="F15" t="s">
        <v>27</v>
      </c>
    </row>
    <row r="18" spans="1:6" ht="12.75">
      <c r="A18" t="s">
        <v>28</v>
      </c>
      <c r="E18" s="3">
        <f>E15/12*2</f>
        <v>628.3333333333334</v>
      </c>
      <c r="F18" t="s">
        <v>27</v>
      </c>
    </row>
  </sheetData>
  <printOptions/>
  <pageMargins left="0.75" right="0.75" top="1" bottom="1" header="0.5" footer="0.5"/>
  <pageSetup orientation="portrait" paperSize="9"/>
  <legacyDrawing r:id="rId6"/>
  <oleObjects>
    <oleObject progId="Equation.3" shapeId="128261" r:id="rId1"/>
    <oleObject progId="Equation.3" shapeId="128262" r:id="rId2"/>
    <oleObject progId="Equation.3" shapeId="142891" r:id="rId3"/>
    <oleObject progId="Equation.3" shapeId="161442" r:id="rId4"/>
    <oleObject progId="Equation.3" shapeId="167525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E20" sqref="E20"/>
    </sheetView>
  </sheetViews>
  <sheetFormatPr defaultColWidth="9.00390625" defaultRowHeight="12.75"/>
  <cols>
    <col min="5" max="5" width="10.125" style="0" bestFit="1" customWidth="1"/>
  </cols>
  <sheetData>
    <row r="1" spans="1:3" ht="12.75">
      <c r="A1" t="s">
        <v>316</v>
      </c>
      <c r="C1" t="s">
        <v>333</v>
      </c>
    </row>
    <row r="2" ht="12.75">
      <c r="A2" t="s">
        <v>0</v>
      </c>
    </row>
    <row r="4" ht="14.25">
      <c r="A4" s="39" t="s">
        <v>77</v>
      </c>
    </row>
    <row r="8" ht="14.25">
      <c r="A8" s="41" t="s">
        <v>36</v>
      </c>
    </row>
    <row r="9" ht="12.75">
      <c r="A9" s="6"/>
    </row>
    <row r="10" spans="5:6" ht="12.75">
      <c r="E10" s="47">
        <f>Лист2!F7+Лист2!F8+Лист2!F9+Лист2!F10</f>
        <v>987740</v>
      </c>
      <c r="F10" t="s">
        <v>42</v>
      </c>
    </row>
    <row r="11" ht="12.75">
      <c r="E11" s="47"/>
    </row>
    <row r="12" spans="1:6" ht="12.75">
      <c r="A12" s="9"/>
      <c r="E12" s="47">
        <f>E10/12*2</f>
        <v>164623.33333333334</v>
      </c>
      <c r="F12" t="s">
        <v>45</v>
      </c>
    </row>
    <row r="13" spans="1:5" ht="12.75">
      <c r="A13" s="9"/>
      <c r="E13" s="47"/>
    </row>
    <row r="14" spans="1:5" ht="12.75">
      <c r="A14" s="9"/>
      <c r="E14" s="47"/>
    </row>
    <row r="15" spans="1:6" ht="12.75">
      <c r="A15" s="9"/>
      <c r="E15" s="48">
        <f>Лист2!F11+Лист2!F12+Лист2!F14</f>
        <v>516490</v>
      </c>
      <c r="F15" t="s">
        <v>48</v>
      </c>
    </row>
    <row r="16" ht="12.75">
      <c r="E16" s="47"/>
    </row>
    <row r="17" spans="1:5" ht="12.75">
      <c r="A17" s="9"/>
      <c r="E17" s="47">
        <f>E15/12*2</f>
        <v>86081.66666666667</v>
      </c>
    </row>
    <row r="18" spans="1:5" ht="12.75">
      <c r="A18" s="9"/>
      <c r="E18" s="47"/>
    </row>
    <row r="19" ht="12.75">
      <c r="E19" s="47"/>
    </row>
    <row r="20" spans="5:6" ht="12.75">
      <c r="E20" s="47">
        <f>Лист2!F13</f>
        <v>301600</v>
      </c>
      <c r="F20" t="s">
        <v>52</v>
      </c>
    </row>
    <row r="21" ht="12.75">
      <c r="E21" s="47"/>
    </row>
    <row r="22" ht="12.75">
      <c r="E22" s="47"/>
    </row>
    <row r="23" spans="5:6" ht="12.75">
      <c r="E23" s="47">
        <f>Лист5!E20/12*2</f>
        <v>50266.666666666664</v>
      </c>
      <c r="F23" t="s">
        <v>53</v>
      </c>
    </row>
  </sheetData>
  <printOptions/>
  <pageMargins left="0.75" right="0.75" top="1" bottom="1" header="0.5" footer="0.5"/>
  <pageSetup orientation="portrait" paperSize="9"/>
  <legacyDrawing r:id="rId8"/>
  <oleObjects>
    <oleObject progId="Equation.3" shapeId="127024" r:id="rId1"/>
    <oleObject progId="Equation.3" shapeId="127025" r:id="rId2"/>
    <oleObject progId="Equation.3" shapeId="127026" r:id="rId3"/>
    <oleObject progId="Equation.3" shapeId="127028" r:id="rId4"/>
    <oleObject progId="Equation.3" shapeId="127029" r:id="rId5"/>
    <oleObject progId="Equation.3" shapeId="127030" r:id="rId6"/>
    <oleObject progId="Equation.3" shapeId="183369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4" sqref="A4"/>
    </sheetView>
  </sheetViews>
  <sheetFormatPr defaultColWidth="9.00390625" defaultRowHeight="12.75"/>
  <cols>
    <col min="2" max="2" width="45.625" style="0" customWidth="1"/>
    <col min="5" max="5" width="11.625" style="0" customWidth="1"/>
  </cols>
  <sheetData>
    <row r="1" spans="1:3" ht="12.75">
      <c r="A1" t="s">
        <v>316</v>
      </c>
      <c r="C1" s="42" t="s">
        <v>332</v>
      </c>
    </row>
    <row r="2" ht="12.75">
      <c r="A2" t="s">
        <v>0</v>
      </c>
    </row>
    <row r="3" ht="6.75" customHeight="1"/>
    <row r="4" ht="14.25">
      <c r="A4" s="39" t="s">
        <v>78</v>
      </c>
    </row>
    <row r="5" ht="5.25" customHeight="1">
      <c r="A5" s="22"/>
    </row>
    <row r="6" spans="1:5" ht="12.75">
      <c r="A6" s="14" t="s">
        <v>30</v>
      </c>
      <c r="B6" s="15" t="s">
        <v>31</v>
      </c>
      <c r="C6" s="16" t="s">
        <v>79</v>
      </c>
      <c r="D6" s="2" t="s">
        <v>80</v>
      </c>
      <c r="E6" s="2" t="s">
        <v>81</v>
      </c>
    </row>
    <row r="7" spans="1:5" ht="12.75">
      <c r="A7" s="17"/>
      <c r="B7" s="18"/>
      <c r="C7" s="16" t="s">
        <v>82</v>
      </c>
      <c r="D7" s="2" t="s">
        <v>62</v>
      </c>
      <c r="E7" s="2" t="s">
        <v>83</v>
      </c>
    </row>
    <row r="8" spans="1:5" ht="12.75">
      <c r="A8" s="2">
        <v>1</v>
      </c>
      <c r="B8" s="1" t="s">
        <v>84</v>
      </c>
      <c r="C8" s="44">
        <v>1876</v>
      </c>
      <c r="D8" s="44">
        <v>795</v>
      </c>
      <c r="E8" s="45">
        <f>C8*D8</f>
        <v>1491420</v>
      </c>
    </row>
    <row r="9" spans="1:5" ht="12.75">
      <c r="A9" s="2">
        <v>2</v>
      </c>
      <c r="B9" s="1" t="s">
        <v>85</v>
      </c>
      <c r="C9" s="44">
        <v>1230</v>
      </c>
      <c r="D9" s="44">
        <v>260</v>
      </c>
      <c r="E9" s="45">
        <f aca="true" t="shared" si="0" ref="E9:E16">C9*D9</f>
        <v>319800</v>
      </c>
    </row>
    <row r="10" spans="1:5" ht="12.75">
      <c r="A10" s="2">
        <v>3</v>
      </c>
      <c r="B10" s="1" t="s">
        <v>86</v>
      </c>
      <c r="C10" s="44">
        <v>1100</v>
      </c>
      <c r="D10" s="44">
        <v>545</v>
      </c>
      <c r="E10" s="45">
        <f t="shared" si="0"/>
        <v>599500</v>
      </c>
    </row>
    <row r="11" spans="1:5" ht="12.75">
      <c r="A11" s="2">
        <v>4</v>
      </c>
      <c r="B11" s="1" t="s">
        <v>87</v>
      </c>
      <c r="C11" s="44">
        <v>1050</v>
      </c>
      <c r="D11" s="44">
        <v>370</v>
      </c>
      <c r="E11" s="45">
        <f t="shared" si="0"/>
        <v>388500</v>
      </c>
    </row>
    <row r="12" spans="1:5" ht="12.75">
      <c r="A12" s="2">
        <v>5</v>
      </c>
      <c r="B12" s="1" t="s">
        <v>88</v>
      </c>
      <c r="C12" s="44">
        <v>375</v>
      </c>
      <c r="D12" s="44"/>
      <c r="E12" s="45">
        <f t="shared" si="0"/>
        <v>0</v>
      </c>
    </row>
    <row r="13" spans="1:5" ht="12.75">
      <c r="A13" s="2">
        <v>6</v>
      </c>
      <c r="B13" s="1" t="s">
        <v>89</v>
      </c>
      <c r="C13" s="44">
        <v>62.9</v>
      </c>
      <c r="D13" s="44">
        <v>6060</v>
      </c>
      <c r="E13" s="45">
        <f t="shared" si="0"/>
        <v>381174</v>
      </c>
    </row>
    <row r="14" spans="1:5" ht="12.75">
      <c r="A14" s="2">
        <v>7</v>
      </c>
      <c r="B14" s="1" t="s">
        <v>90</v>
      </c>
      <c r="C14" s="44">
        <v>62</v>
      </c>
      <c r="D14" s="44">
        <v>1060</v>
      </c>
      <c r="E14" s="45">
        <f t="shared" si="0"/>
        <v>65720</v>
      </c>
    </row>
    <row r="15" spans="1:5" ht="12.75">
      <c r="A15" s="2">
        <v>8</v>
      </c>
      <c r="B15" s="1" t="s">
        <v>91</v>
      </c>
      <c r="C15" s="44">
        <v>125</v>
      </c>
      <c r="D15" s="44">
        <v>18424</v>
      </c>
      <c r="E15" s="45">
        <f t="shared" si="0"/>
        <v>2303000</v>
      </c>
    </row>
    <row r="16" spans="1:5" ht="12.75">
      <c r="A16" s="2">
        <v>9</v>
      </c>
      <c r="B16" s="1" t="s">
        <v>92</v>
      </c>
      <c r="C16" s="44">
        <v>21</v>
      </c>
      <c r="D16" s="44">
        <v>24250</v>
      </c>
      <c r="E16" s="45">
        <f t="shared" si="0"/>
        <v>509250</v>
      </c>
    </row>
    <row r="17" spans="1:5" ht="12.75">
      <c r="A17" s="1" t="s">
        <v>93</v>
      </c>
      <c r="B17" s="1"/>
      <c r="C17" s="45">
        <f>SUM(C8:C16)</f>
        <v>5901.9</v>
      </c>
      <c r="D17" s="45"/>
      <c r="E17" s="45">
        <f>SUM(E8:E16)</f>
        <v>6058364</v>
      </c>
    </row>
    <row r="18" spans="1:5" ht="12.75">
      <c r="A18" s="2">
        <v>1</v>
      </c>
      <c r="B18" s="1" t="s">
        <v>94</v>
      </c>
      <c r="C18" s="44">
        <v>201</v>
      </c>
      <c r="D18" s="44">
        <v>3125</v>
      </c>
      <c r="E18" s="45">
        <f>C18*D18</f>
        <v>628125</v>
      </c>
    </row>
    <row r="19" spans="1:5" ht="12.75">
      <c r="A19" s="2">
        <v>2</v>
      </c>
      <c r="B19" s="1" t="s">
        <v>95</v>
      </c>
      <c r="C19" s="44">
        <v>151</v>
      </c>
      <c r="D19" s="44">
        <v>1700</v>
      </c>
      <c r="E19" s="45">
        <f>C19*D19</f>
        <v>256700</v>
      </c>
    </row>
    <row r="20" spans="1:5" ht="12.75">
      <c r="A20" s="19" t="s">
        <v>96</v>
      </c>
      <c r="B20" s="19"/>
      <c r="C20" s="45">
        <f>SUM(C18:C19)</f>
        <v>352</v>
      </c>
      <c r="D20" s="45"/>
      <c r="E20" s="45">
        <f>SUM(E18:E19)</f>
        <v>884825</v>
      </c>
    </row>
    <row r="21" spans="1:5" ht="12.75">
      <c r="A21" s="20" t="s">
        <v>97</v>
      </c>
      <c r="B21" s="21"/>
      <c r="C21" s="49">
        <f>C17+C20</f>
        <v>6253.9</v>
      </c>
      <c r="D21" s="45"/>
      <c r="E21" s="45">
        <f>E17+E20</f>
        <v>6943189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4" sqref="A4"/>
    </sheetView>
  </sheetViews>
  <sheetFormatPr defaultColWidth="9.00390625" defaultRowHeight="12.75"/>
  <cols>
    <col min="1" max="1" width="27.875" style="0" customWidth="1"/>
    <col min="3" max="3" width="8.75390625" style="0" customWidth="1"/>
    <col min="4" max="4" width="8.25390625" style="0" customWidth="1"/>
    <col min="5" max="5" width="7.75390625" style="0" customWidth="1"/>
    <col min="6" max="6" width="7.625" style="0" customWidth="1"/>
    <col min="7" max="7" width="11.75390625" style="0" bestFit="1" customWidth="1"/>
    <col min="8" max="8" width="12.625" style="0" customWidth="1"/>
  </cols>
  <sheetData>
    <row r="1" spans="1:2" ht="12.75">
      <c r="A1" t="s">
        <v>316</v>
      </c>
      <c r="B1" t="s">
        <v>331</v>
      </c>
    </row>
    <row r="2" ht="12.75">
      <c r="A2" t="s">
        <v>0</v>
      </c>
    </row>
    <row r="3" ht="6.75" customHeight="1"/>
    <row r="4" ht="14.25">
      <c r="A4" s="39" t="s">
        <v>98</v>
      </c>
    </row>
    <row r="5" ht="4.5" customHeight="1">
      <c r="A5" s="22"/>
    </row>
    <row r="6" spans="1:8" ht="38.25">
      <c r="A6" s="5" t="s">
        <v>99</v>
      </c>
      <c r="B6" s="5" t="s">
        <v>100</v>
      </c>
      <c r="C6" s="58" t="s">
        <v>101</v>
      </c>
      <c r="D6" s="58"/>
      <c r="E6" s="58" t="s">
        <v>102</v>
      </c>
      <c r="F6" s="58"/>
      <c r="G6" s="58" t="s">
        <v>103</v>
      </c>
      <c r="H6" s="58"/>
    </row>
    <row r="7" spans="1:8" ht="12.75">
      <c r="A7" s="5"/>
      <c r="B7" s="5"/>
      <c r="C7" s="5" t="s">
        <v>104</v>
      </c>
      <c r="D7" s="5" t="s">
        <v>105</v>
      </c>
      <c r="E7" s="5" t="s">
        <v>104</v>
      </c>
      <c r="F7" s="5" t="s">
        <v>105</v>
      </c>
      <c r="G7" s="5" t="s">
        <v>104</v>
      </c>
      <c r="H7" s="5" t="s">
        <v>105</v>
      </c>
    </row>
    <row r="8" spans="1:8" ht="12.75">
      <c r="A8" s="5"/>
      <c r="B8" s="5"/>
      <c r="C8" s="58" t="s">
        <v>106</v>
      </c>
      <c r="D8" s="58"/>
      <c r="E8" s="5" t="s">
        <v>107</v>
      </c>
      <c r="F8" s="5" t="s">
        <v>108</v>
      </c>
      <c r="G8" s="5" t="s">
        <v>109</v>
      </c>
      <c r="H8" s="5" t="s">
        <v>110</v>
      </c>
    </row>
    <row r="9" spans="1:8" ht="12.75">
      <c r="A9" s="1" t="s">
        <v>111</v>
      </c>
      <c r="B9" s="2">
        <v>1</v>
      </c>
      <c r="C9" s="50">
        <v>5112</v>
      </c>
      <c r="D9" s="50">
        <v>8588</v>
      </c>
      <c r="E9" s="50">
        <v>176</v>
      </c>
      <c r="F9" s="50">
        <v>168</v>
      </c>
      <c r="G9" s="51">
        <f aca="true" t="shared" si="0" ref="G9:H14">C9*E9</f>
        <v>899712</v>
      </c>
      <c r="H9" s="51">
        <f t="shared" si="0"/>
        <v>1442784</v>
      </c>
    </row>
    <row r="10" spans="1:8" ht="12.75">
      <c r="A10" s="1" t="s">
        <v>112</v>
      </c>
      <c r="B10" s="2">
        <v>2</v>
      </c>
      <c r="C10" s="50">
        <v>3785</v>
      </c>
      <c r="D10" s="50">
        <v>6360</v>
      </c>
      <c r="E10" s="50">
        <v>172</v>
      </c>
      <c r="F10" s="50">
        <v>172</v>
      </c>
      <c r="G10" s="51">
        <f t="shared" si="0"/>
        <v>651020</v>
      </c>
      <c r="H10" s="51">
        <f t="shared" si="0"/>
        <v>1093920</v>
      </c>
    </row>
    <row r="11" spans="1:8" ht="12.75">
      <c r="A11" s="1" t="s">
        <v>113</v>
      </c>
      <c r="B11" s="2">
        <v>2</v>
      </c>
      <c r="C11" s="50">
        <v>3402</v>
      </c>
      <c r="D11" s="50">
        <v>5715</v>
      </c>
      <c r="E11" s="50">
        <v>172</v>
      </c>
      <c r="F11" s="50">
        <v>172</v>
      </c>
      <c r="G11" s="51">
        <f t="shared" si="0"/>
        <v>585144</v>
      </c>
      <c r="H11" s="51">
        <f t="shared" si="0"/>
        <v>982980</v>
      </c>
    </row>
    <row r="12" spans="1:8" ht="12.75">
      <c r="A12" s="1" t="s">
        <v>114</v>
      </c>
      <c r="B12" s="2">
        <v>2</v>
      </c>
      <c r="C12" s="50">
        <v>2616</v>
      </c>
      <c r="D12" s="50">
        <v>4995</v>
      </c>
      <c r="E12" s="50">
        <v>172</v>
      </c>
      <c r="F12" s="50">
        <v>172</v>
      </c>
      <c r="G12" s="51">
        <f t="shared" si="0"/>
        <v>449952</v>
      </c>
      <c r="H12" s="51">
        <f t="shared" si="0"/>
        <v>859140</v>
      </c>
    </row>
    <row r="13" spans="1:8" ht="12.75">
      <c r="A13" s="1" t="s">
        <v>115</v>
      </c>
      <c r="B13" s="2">
        <v>1</v>
      </c>
      <c r="C13" s="50">
        <v>3069</v>
      </c>
      <c r="D13" s="50">
        <v>5156</v>
      </c>
      <c r="E13" s="50">
        <v>176</v>
      </c>
      <c r="F13" s="50">
        <v>168</v>
      </c>
      <c r="G13" s="51">
        <f t="shared" si="0"/>
        <v>540144</v>
      </c>
      <c r="H13" s="51">
        <f t="shared" si="0"/>
        <v>866208</v>
      </c>
    </row>
    <row r="14" spans="1:8" ht="12.75">
      <c r="A14" s="1" t="s">
        <v>116</v>
      </c>
      <c r="B14" s="2">
        <v>2</v>
      </c>
      <c r="C14" s="50">
        <v>2100</v>
      </c>
      <c r="D14" s="50">
        <v>3528</v>
      </c>
      <c r="E14" s="50">
        <v>172</v>
      </c>
      <c r="F14" s="50">
        <v>172</v>
      </c>
      <c r="G14" s="51">
        <f t="shared" si="0"/>
        <v>361200</v>
      </c>
      <c r="H14" s="51">
        <f t="shared" si="0"/>
        <v>606816</v>
      </c>
    </row>
    <row r="15" spans="1:8" ht="12.75">
      <c r="A15" s="1" t="s">
        <v>74</v>
      </c>
      <c r="B15" s="2"/>
      <c r="C15" s="51"/>
      <c r="D15" s="51"/>
      <c r="E15" s="51"/>
      <c r="F15" s="51"/>
      <c r="G15" s="51">
        <f>SUM(G9:G14)</f>
        <v>3487172</v>
      </c>
      <c r="H15" s="51">
        <f>SUM(H9:H14)</f>
        <v>5851848</v>
      </c>
    </row>
  </sheetData>
  <mergeCells count="4">
    <mergeCell ref="C6:D6"/>
    <mergeCell ref="E6:F6"/>
    <mergeCell ref="G6:H6"/>
    <mergeCell ref="C8:D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4" sqref="H14"/>
    </sheetView>
  </sheetViews>
  <sheetFormatPr defaultColWidth="9.00390625" defaultRowHeight="12.75"/>
  <cols>
    <col min="1" max="1" width="22.875" style="0" customWidth="1"/>
    <col min="3" max="6" width="9.25390625" style="0" bestFit="1" customWidth="1"/>
    <col min="7" max="8" width="11.75390625" style="0" bestFit="1" customWidth="1"/>
  </cols>
  <sheetData>
    <row r="1" spans="1:2" ht="12.75">
      <c r="A1" t="s">
        <v>316</v>
      </c>
      <c r="B1" t="s">
        <v>331</v>
      </c>
    </row>
    <row r="2" ht="12.75">
      <c r="A2" t="s">
        <v>0</v>
      </c>
    </row>
    <row r="3" ht="3.75" customHeight="1"/>
    <row r="4" ht="14.25">
      <c r="A4" s="39" t="s">
        <v>117</v>
      </c>
    </row>
    <row r="5" ht="4.5" customHeight="1">
      <c r="A5" s="22"/>
    </row>
    <row r="6" spans="1:8" ht="38.25">
      <c r="A6" s="5" t="s">
        <v>118</v>
      </c>
      <c r="B6" s="5" t="s">
        <v>119</v>
      </c>
      <c r="C6" s="58" t="s">
        <v>120</v>
      </c>
      <c r="D6" s="58"/>
      <c r="E6" s="58" t="s">
        <v>121</v>
      </c>
      <c r="F6" s="58"/>
      <c r="G6" s="58" t="s">
        <v>122</v>
      </c>
      <c r="H6" s="58"/>
    </row>
    <row r="7" spans="1:8" ht="12.75">
      <c r="A7" s="5"/>
      <c r="B7" s="5"/>
      <c r="C7" s="5" t="s">
        <v>104</v>
      </c>
      <c r="D7" s="5" t="s">
        <v>105</v>
      </c>
      <c r="E7" s="5" t="s">
        <v>104</v>
      </c>
      <c r="F7" s="5" t="s">
        <v>105</v>
      </c>
      <c r="G7" s="5" t="s">
        <v>104</v>
      </c>
      <c r="H7" s="5" t="s">
        <v>105</v>
      </c>
    </row>
    <row r="8" spans="1:8" ht="12.75">
      <c r="A8" s="5"/>
      <c r="B8" s="5"/>
      <c r="C8" s="59" t="s">
        <v>123</v>
      </c>
      <c r="D8" s="60"/>
      <c r="E8" s="5" t="s">
        <v>107</v>
      </c>
      <c r="F8" s="5" t="s">
        <v>108</v>
      </c>
      <c r="G8" s="5" t="s">
        <v>124</v>
      </c>
      <c r="H8" s="5" t="s">
        <v>125</v>
      </c>
    </row>
    <row r="9" spans="1:8" ht="12.75">
      <c r="A9" s="1" t="s">
        <v>126</v>
      </c>
      <c r="B9" s="2">
        <v>1</v>
      </c>
      <c r="C9" s="50">
        <v>5285</v>
      </c>
      <c r="D9" s="50">
        <v>8880</v>
      </c>
      <c r="E9" s="50">
        <v>176</v>
      </c>
      <c r="F9" s="50">
        <v>168</v>
      </c>
      <c r="G9" s="51">
        <f aca="true" t="shared" si="0" ref="G9:H14">C9*E9</f>
        <v>930160</v>
      </c>
      <c r="H9" s="51">
        <f t="shared" si="0"/>
        <v>1491840</v>
      </c>
    </row>
    <row r="10" spans="1:8" ht="12.75">
      <c r="A10" s="1" t="s">
        <v>127</v>
      </c>
      <c r="B10" s="2">
        <v>1</v>
      </c>
      <c r="C10" s="50">
        <v>4944</v>
      </c>
      <c r="D10" s="50">
        <v>8305</v>
      </c>
      <c r="E10" s="50">
        <v>176</v>
      </c>
      <c r="F10" s="50">
        <v>168</v>
      </c>
      <c r="G10" s="51">
        <f t="shared" si="0"/>
        <v>870144</v>
      </c>
      <c r="H10" s="51">
        <f t="shared" si="0"/>
        <v>1395240</v>
      </c>
    </row>
    <row r="11" spans="1:8" ht="12.75">
      <c r="A11" s="1" t="s">
        <v>128</v>
      </c>
      <c r="B11" s="2">
        <v>1</v>
      </c>
      <c r="C11" s="50">
        <v>4944</v>
      </c>
      <c r="D11" s="50">
        <v>8305</v>
      </c>
      <c r="E11" s="50">
        <v>176</v>
      </c>
      <c r="F11" s="50">
        <v>168</v>
      </c>
      <c r="G11" s="51">
        <f t="shared" si="0"/>
        <v>870144</v>
      </c>
      <c r="H11" s="51">
        <f t="shared" si="0"/>
        <v>1395240</v>
      </c>
    </row>
    <row r="12" spans="1:8" ht="12.75">
      <c r="A12" s="1" t="s">
        <v>129</v>
      </c>
      <c r="B12" s="2">
        <v>1</v>
      </c>
      <c r="C12" s="50">
        <v>2130</v>
      </c>
      <c r="D12" s="50">
        <v>3578</v>
      </c>
      <c r="E12" s="50">
        <v>176</v>
      </c>
      <c r="F12" s="50">
        <v>168</v>
      </c>
      <c r="G12" s="51">
        <f t="shared" si="0"/>
        <v>374880</v>
      </c>
      <c r="H12" s="51">
        <f t="shared" si="0"/>
        <v>601104</v>
      </c>
    </row>
    <row r="13" spans="1:8" ht="12.75">
      <c r="A13" s="1" t="s">
        <v>130</v>
      </c>
      <c r="B13" s="2">
        <v>1</v>
      </c>
      <c r="C13" s="50">
        <v>1023</v>
      </c>
      <c r="D13" s="50">
        <v>1718</v>
      </c>
      <c r="E13" s="50">
        <v>176</v>
      </c>
      <c r="F13" s="50">
        <v>168</v>
      </c>
      <c r="G13" s="51">
        <f t="shared" si="0"/>
        <v>180048</v>
      </c>
      <c r="H13" s="51">
        <f t="shared" si="0"/>
        <v>288624</v>
      </c>
    </row>
    <row r="14" spans="1:8" ht="12.75">
      <c r="A14" s="1" t="s">
        <v>131</v>
      </c>
      <c r="B14" s="2">
        <v>1</v>
      </c>
      <c r="C14" s="50">
        <v>1023</v>
      </c>
      <c r="D14" s="50">
        <v>1718</v>
      </c>
      <c r="E14" s="50">
        <v>176</v>
      </c>
      <c r="F14" s="50">
        <v>168</v>
      </c>
      <c r="G14" s="51">
        <f t="shared" si="0"/>
        <v>180048</v>
      </c>
      <c r="H14" s="51">
        <f t="shared" si="0"/>
        <v>288624</v>
      </c>
    </row>
    <row r="15" spans="1:8" ht="12.75">
      <c r="A15" s="1" t="s">
        <v>74</v>
      </c>
      <c r="B15" s="2"/>
      <c r="C15" s="51"/>
      <c r="D15" s="51"/>
      <c r="E15" s="51"/>
      <c r="F15" s="51"/>
      <c r="G15" s="51">
        <f>SUM(G9:G14)</f>
        <v>3405424</v>
      </c>
      <c r="H15" s="51">
        <f>SUM(H9:H14)</f>
        <v>5460672</v>
      </c>
    </row>
  </sheetData>
  <mergeCells count="4">
    <mergeCell ref="C6:D6"/>
    <mergeCell ref="E6:F6"/>
    <mergeCell ref="G6:H6"/>
    <mergeCell ref="C8:D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4" sqref="A4"/>
    </sheetView>
  </sheetViews>
  <sheetFormatPr defaultColWidth="9.00390625" defaultRowHeight="12.75"/>
  <cols>
    <col min="1" max="1" width="35.25390625" style="0" customWidth="1"/>
    <col min="2" max="2" width="11.75390625" style="0" customWidth="1"/>
    <col min="3" max="3" width="12.00390625" style="0" customWidth="1"/>
    <col min="6" max="6" width="19.625" style="0" customWidth="1"/>
  </cols>
  <sheetData>
    <row r="1" spans="1:2" ht="12.75">
      <c r="A1" t="s">
        <v>316</v>
      </c>
      <c r="B1" t="s">
        <v>317</v>
      </c>
    </row>
    <row r="2" ht="12.75">
      <c r="A2" t="s">
        <v>0</v>
      </c>
    </row>
    <row r="4" ht="14.25">
      <c r="A4" s="39" t="s">
        <v>337</v>
      </c>
    </row>
    <row r="5" ht="12.75">
      <c r="A5" s="40" t="s">
        <v>134</v>
      </c>
    </row>
    <row r="6" spans="1:4" ht="12.75">
      <c r="A6" s="1" t="s">
        <v>135</v>
      </c>
      <c r="B6" s="2" t="s">
        <v>136</v>
      </c>
      <c r="C6" s="44">
        <v>2</v>
      </c>
      <c r="D6" s="1" t="s">
        <v>137</v>
      </c>
    </row>
    <row r="7" spans="1:7" ht="12.75">
      <c r="A7" s="1" t="s">
        <v>138</v>
      </c>
      <c r="B7" s="2" t="s">
        <v>139</v>
      </c>
      <c r="C7" s="44">
        <v>231</v>
      </c>
      <c r="D7" s="1" t="s">
        <v>140</v>
      </c>
      <c r="F7" s="47">
        <f>C6*C7*C8</f>
        <v>1390158</v>
      </c>
      <c r="G7" t="s">
        <v>7</v>
      </c>
    </row>
    <row r="8" spans="1:6" ht="12.75">
      <c r="A8" s="1" t="s">
        <v>141</v>
      </c>
      <c r="B8" s="2" t="s">
        <v>64</v>
      </c>
      <c r="C8" s="44">
        <v>3009</v>
      </c>
      <c r="D8" s="1" t="s">
        <v>7</v>
      </c>
      <c r="F8" s="47"/>
    </row>
    <row r="9" spans="3:6" ht="12.75">
      <c r="C9" s="47"/>
      <c r="F9" s="47"/>
    </row>
    <row r="10" spans="1:6" ht="25.5">
      <c r="A10" s="52" t="s">
        <v>142</v>
      </c>
      <c r="B10" s="44">
        <v>3576200</v>
      </c>
      <c r="C10" s="48" t="s">
        <v>143</v>
      </c>
      <c r="F10" s="47"/>
    </row>
    <row r="11" spans="3:6" ht="12.75">
      <c r="C11" s="47"/>
      <c r="F11" s="47"/>
    </row>
    <row r="12" spans="1:6" ht="12.75">
      <c r="A12" s="40" t="s">
        <v>144</v>
      </c>
      <c r="C12" s="47"/>
      <c r="F12" s="47"/>
    </row>
    <row r="13" spans="1:7" ht="12.75">
      <c r="A13" s="1" t="s">
        <v>145</v>
      </c>
      <c r="B13" s="2" t="s">
        <v>139</v>
      </c>
      <c r="C13" s="44">
        <v>10852</v>
      </c>
      <c r="D13" s="1" t="s">
        <v>146</v>
      </c>
      <c r="F13" s="47">
        <f>C13*C14</f>
        <v>3906720</v>
      </c>
      <c r="G13" t="s">
        <v>7</v>
      </c>
    </row>
    <row r="14" spans="1:6" ht="12.75">
      <c r="A14" s="1" t="s">
        <v>147</v>
      </c>
      <c r="B14" s="2" t="s">
        <v>148</v>
      </c>
      <c r="C14" s="44">
        <v>360</v>
      </c>
      <c r="D14" s="1" t="s">
        <v>7</v>
      </c>
      <c r="F14" s="47"/>
    </row>
    <row r="15" spans="3:6" ht="12.75">
      <c r="C15" s="47"/>
      <c r="F15" s="47"/>
    </row>
    <row r="16" spans="1:6" ht="12.75">
      <c r="A16" s="40" t="s">
        <v>149</v>
      </c>
      <c r="C16" s="47"/>
      <c r="F16" s="47"/>
    </row>
    <row r="17" spans="1:6" ht="12.75">
      <c r="A17" s="1" t="s">
        <v>150</v>
      </c>
      <c r="B17" s="2" t="s">
        <v>136</v>
      </c>
      <c r="C17" s="44">
        <v>1.5</v>
      </c>
      <c r="D17" s="1" t="s">
        <v>137</v>
      </c>
      <c r="F17" s="47"/>
    </row>
    <row r="18" spans="1:7" ht="12.75">
      <c r="A18" s="1" t="s">
        <v>151</v>
      </c>
      <c r="B18" s="2" t="s">
        <v>62</v>
      </c>
      <c r="C18" s="44">
        <v>78490</v>
      </c>
      <c r="D18" s="1" t="s">
        <v>7</v>
      </c>
      <c r="F18" s="47">
        <f>C17*C18*C19</f>
        <v>567482.7000000001</v>
      </c>
      <c r="G18" t="s">
        <v>7</v>
      </c>
    </row>
    <row r="19" spans="1:6" ht="12.75">
      <c r="A19" s="1" t="s">
        <v>152</v>
      </c>
      <c r="B19" s="2" t="s">
        <v>139</v>
      </c>
      <c r="C19" s="44">
        <v>4.82</v>
      </c>
      <c r="D19" s="1" t="s">
        <v>153</v>
      </c>
      <c r="F19" s="47"/>
    </row>
    <row r="20" spans="3:6" ht="12.75">
      <c r="C20" s="47"/>
      <c r="F20" s="47"/>
    </row>
    <row r="21" spans="1:6" ht="12.75">
      <c r="A21" s="40" t="s">
        <v>154</v>
      </c>
      <c r="C21" s="47"/>
      <c r="F21" s="47"/>
    </row>
    <row r="22" spans="1:7" ht="12.75">
      <c r="A22" s="1" t="s">
        <v>16</v>
      </c>
      <c r="B22" s="2" t="s">
        <v>136</v>
      </c>
      <c r="C22" s="44">
        <v>360</v>
      </c>
      <c r="D22" s="1" t="s">
        <v>18</v>
      </c>
      <c r="F22" s="47">
        <f>C22*C23</f>
        <v>656805.6</v>
      </c>
      <c r="G22" t="s">
        <v>7</v>
      </c>
    </row>
    <row r="23" spans="1:4" ht="12.75">
      <c r="A23" s="1" t="s">
        <v>155</v>
      </c>
      <c r="B23" s="2" t="s">
        <v>139</v>
      </c>
      <c r="C23" s="44">
        <v>1824.46</v>
      </c>
      <c r="D23" s="1" t="s">
        <v>146</v>
      </c>
    </row>
    <row r="25" ht="12.75">
      <c r="A25" s="40" t="s">
        <v>156</v>
      </c>
    </row>
    <row r="26" spans="1:7" ht="12.75">
      <c r="A26" s="1" t="s">
        <v>157</v>
      </c>
      <c r="B26" s="2" t="s">
        <v>158</v>
      </c>
      <c r="C26" s="44">
        <v>200</v>
      </c>
      <c r="D26" s="1" t="s">
        <v>159</v>
      </c>
      <c r="F26" s="47">
        <f>C26*C27*C28*C29</f>
        <v>1482000</v>
      </c>
      <c r="G26" t="s">
        <v>143</v>
      </c>
    </row>
    <row r="27" spans="1:4" ht="12.75">
      <c r="A27" s="1" t="s">
        <v>160</v>
      </c>
      <c r="B27" s="2" t="s">
        <v>161</v>
      </c>
      <c r="C27" s="44">
        <v>52</v>
      </c>
      <c r="D27" s="1" t="s">
        <v>18</v>
      </c>
    </row>
    <row r="28" spans="1:4" ht="12.75">
      <c r="A28" s="1" t="s">
        <v>162</v>
      </c>
      <c r="B28" s="2" t="s">
        <v>163</v>
      </c>
      <c r="C28" s="44">
        <v>0.15</v>
      </c>
      <c r="D28" s="1" t="s">
        <v>164</v>
      </c>
    </row>
    <row r="29" spans="1:4" ht="12.75">
      <c r="A29" s="1" t="s">
        <v>165</v>
      </c>
      <c r="B29" s="2" t="s">
        <v>62</v>
      </c>
      <c r="C29" s="44">
        <v>950</v>
      </c>
      <c r="D29" s="1" t="s">
        <v>143</v>
      </c>
    </row>
    <row r="30" ht="12.75">
      <c r="C30" s="47"/>
    </row>
    <row r="32" ht="12.75">
      <c r="C32" s="47"/>
    </row>
  </sheetData>
  <printOptions/>
  <pageMargins left="0.75" right="0.75" top="1" bottom="1" header="0.5" footer="0.5"/>
  <pageSetup orientation="portrait" paperSize="9"/>
  <legacyDrawing r:id="rId6"/>
  <oleObjects>
    <oleObject progId="Equation.3" shapeId="242599" r:id="rId1"/>
    <oleObject progId="Equation.3" shapeId="242600" r:id="rId2"/>
    <oleObject progId="Equation.3" shapeId="242601" r:id="rId3"/>
    <oleObject progId="Equation.3" shapeId="242602" r:id="rId4"/>
    <oleObject progId="Equation.3" shapeId="143617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Дубина А.Г.</dc:creator>
  <cp:keywords/>
  <dc:description/>
  <cp:lastModifiedBy>nata_gus</cp:lastModifiedBy>
  <dcterms:created xsi:type="dcterms:W3CDTF">2001-09-09T16:07:31Z</dcterms:created>
  <dcterms:modified xsi:type="dcterms:W3CDTF">2008-03-14T10:47:38Z</dcterms:modified>
  <cp:category/>
  <cp:version/>
  <cp:contentType/>
  <cp:contentStatus/>
</cp:coreProperties>
</file>