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4_0.bin" ContentType="application/vnd.openxmlformats-officedocument.oleObject"/>
  <Override PartName="/xl/embeddings/oleObject_8_0.bin" ContentType="application/vnd.openxmlformats-officedocument.oleObject"/>
  <Override PartName="/xl/embeddings/oleObject_8_1.bin" ContentType="application/vnd.openxmlformats-officedocument.oleObject"/>
  <Override PartName="/xl/embeddings/oleObject_8_2.bin" ContentType="application/vnd.openxmlformats-officedocument.oleObject"/>
  <Override PartName="/xl/embeddings/oleObject_9_0.bin" ContentType="application/vnd.openxmlformats-officedocument.oleObject"/>
  <Override PartName="/xl/embeddings/oleObject_9_1.bin" ContentType="application/vnd.openxmlformats-officedocument.oleObject"/>
  <Override PartName="/xl/embeddings/oleObject_9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795" tabRatio="799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</sheets>
  <definedNames>
    <definedName name="ДоходИнвестора" localSheetId="0">'Лист1'!$D$12</definedName>
    <definedName name="ДоходИнвестора">#REF!</definedName>
    <definedName name="ДоходИнвестора_ЕдИзм" localSheetId="0">'Лист1'!$E$12</definedName>
    <definedName name="ДоходИнвестора_Наименование" localSheetId="0">'Лист1'!$A$11</definedName>
    <definedName name="НоминСтоимВекс" localSheetId="0">'Лист1'!$D$7</definedName>
    <definedName name="НоминСтоимВекс">#REF!</definedName>
    <definedName name="НоминСтоимВекс_ЕдИзм" localSheetId="0">'Лист1'!$C$7</definedName>
    <definedName name="НоминСтоимВекс_Наименование" localSheetId="0">'Лист1'!$A$7</definedName>
    <definedName name="НоминСтоимВекс_Обозначение" localSheetId="0">'Лист1'!$B$7</definedName>
    <definedName name="ПроцСтавка" localSheetId="0">'Лист1'!$D$15</definedName>
    <definedName name="ПроцСтавка">#REF!</definedName>
    <definedName name="ПроцСтавка_Наименование" localSheetId="0">'Лист1'!$A$14</definedName>
    <definedName name="Срок" localSheetId="1">'Лист2'!$D$7</definedName>
    <definedName name="Срок">#REF!</definedName>
    <definedName name="Срок_ЕдИзм" localSheetId="1">'Лист2'!$C$7</definedName>
    <definedName name="Срок_Наименование" localSheetId="1">'Лист2'!$A$7</definedName>
    <definedName name="Срок_Обозначение" localSheetId="1">'Лист2'!$B$7</definedName>
    <definedName name="СрокСсуды" localSheetId="0">'Лист1'!$D$9</definedName>
    <definedName name="СрокСсуды">#REF!</definedName>
    <definedName name="СрокСсуды_ЕдИзм" localSheetId="0">'Лист1'!$C$9</definedName>
    <definedName name="СрокСсуды_Наименование" localSheetId="0">'Лист1'!$A$9</definedName>
    <definedName name="СрокСсуды_Обозначение" localSheetId="0">'Лист1'!$B$9</definedName>
    <definedName name="Ссуда" localSheetId="1">'Лист2'!$D$5</definedName>
    <definedName name="Ссуда">#REF!</definedName>
    <definedName name="Ссуда_ЕдИзм" localSheetId="1">'Лист2'!$C$5</definedName>
    <definedName name="Ссуда_Наименование" localSheetId="1">'Лист2'!$A$5</definedName>
    <definedName name="Ссуда_Обозначение" localSheetId="1">'Лист2'!$B$5</definedName>
    <definedName name="СтавкаПростПроц" localSheetId="1">'Лист2'!$D$6</definedName>
    <definedName name="СтавкаПростПроц">#REF!</definedName>
    <definedName name="СтавкаПростПроц_ЕдИзм" localSheetId="1">'Лист2'!$C$6</definedName>
    <definedName name="СтавкаПростПроц_Наименование" localSheetId="1">'Лист2'!$A$6</definedName>
    <definedName name="СтавкаПростПроц_Обозначение" localSheetId="1">'Лист2'!$B$6</definedName>
    <definedName name="СуммаНакоплДолга" localSheetId="1">'Лист2'!$B$13</definedName>
    <definedName name="СуммаНакоплДолга">#REF!</definedName>
    <definedName name="СуммаНакоплДолга_ЕдИзм" localSheetId="1">'Лист2'!$C$13</definedName>
    <definedName name="СуммаНакоплДолга_Наименование" localSheetId="1">'Лист2'!$A$12</definedName>
    <definedName name="СуммаПроц" localSheetId="1">'Лист2'!$B$10</definedName>
    <definedName name="СуммаПроц">#REF!</definedName>
    <definedName name="СуммаПроц_ЕдИзм" localSheetId="1">'Лист2'!$C$10</definedName>
    <definedName name="СуммаПроц_Наименование" localSheetId="1">'Лист2'!$A$9</definedName>
    <definedName name="ЦенаВекс" localSheetId="0">'Лист1'!$D$8</definedName>
    <definedName name="ЦенаВекс">#REF!</definedName>
    <definedName name="ЦенаВекс_ЕдИзм" localSheetId="0">'Лист1'!$C$8</definedName>
    <definedName name="ЦенаВекс_Наименование" localSheetId="0">'Лист1'!$A$8</definedName>
    <definedName name="ЦенаВекс_Обозначение" localSheetId="0">'Лист1'!$B$8</definedName>
  </definedNames>
  <calcPr calcMode="autoNoTable" fullCalcOnLoad="1"/>
</workbook>
</file>

<file path=xl/sharedStrings.xml><?xml version="1.0" encoding="utf-8"?>
<sst xmlns="http://schemas.openxmlformats.org/spreadsheetml/2006/main" count="245" uniqueCount="138">
  <si>
    <t>Номинальная стоимость векселя</t>
  </si>
  <si>
    <t>Цена векселя</t>
  </si>
  <si>
    <t>S</t>
  </si>
  <si>
    <t>P</t>
  </si>
  <si>
    <t>млн.руб.</t>
  </si>
  <si>
    <t>Срок ссуды</t>
  </si>
  <si>
    <t>n</t>
  </si>
  <si>
    <t>год</t>
  </si>
  <si>
    <t>млн.руб</t>
  </si>
  <si>
    <t>Ссуда</t>
  </si>
  <si>
    <t>Срок</t>
  </si>
  <si>
    <t>Р</t>
  </si>
  <si>
    <t>i</t>
  </si>
  <si>
    <t>%</t>
  </si>
  <si>
    <t>Ставка простых процентов</t>
  </si>
  <si>
    <t>года</t>
  </si>
  <si>
    <t>Срок 1</t>
  </si>
  <si>
    <t>Кредит</t>
  </si>
  <si>
    <t>n1</t>
  </si>
  <si>
    <t>n2</t>
  </si>
  <si>
    <t>Сумма погашения долга :</t>
  </si>
  <si>
    <t>1 год</t>
  </si>
  <si>
    <t>2 год</t>
  </si>
  <si>
    <t>3 год</t>
  </si>
  <si>
    <t>Процентная ставка</t>
  </si>
  <si>
    <t>n3</t>
  </si>
  <si>
    <t>дней</t>
  </si>
  <si>
    <t>Продолжительность года</t>
  </si>
  <si>
    <t>К</t>
  </si>
  <si>
    <t>а) Формула сложных процентов :</t>
  </si>
  <si>
    <t>б) Смешанный метод :</t>
  </si>
  <si>
    <t>Номинальная ставка</t>
  </si>
  <si>
    <t>Начисления ежеквартально</t>
  </si>
  <si>
    <t>Наращенная сумма, подлежащая возврату :</t>
  </si>
  <si>
    <t>j</t>
  </si>
  <si>
    <t>N - число периодов начисления процентов за весь срок контракта</t>
  </si>
  <si>
    <t>m</t>
  </si>
  <si>
    <t>Эффективная ставка :</t>
  </si>
  <si>
    <t>=</t>
  </si>
  <si>
    <t>Предположим :</t>
  </si>
  <si>
    <t>Ставка</t>
  </si>
  <si>
    <t>Изменим условия примера</t>
  </si>
  <si>
    <t>Непрерывное начисление процентов</t>
  </si>
  <si>
    <t xml:space="preserve">Кредит </t>
  </si>
  <si>
    <t>Процент</t>
  </si>
  <si>
    <t>а) начисления один раз в год :</t>
  </si>
  <si>
    <t>m =</t>
  </si>
  <si>
    <t>в) непрерывно :</t>
  </si>
  <si>
    <t xml:space="preserve"> I = S - P</t>
  </si>
  <si>
    <t xml:space="preserve">Доход инвестора </t>
  </si>
  <si>
    <t>Простые и сложные проценты</t>
  </si>
  <si>
    <t>Доходность вексельной сделки</t>
  </si>
  <si>
    <t>Определить доходность сделки (т.е. размер процентной ставки)</t>
  </si>
  <si>
    <t xml:space="preserve">В банке приобретен вексель, по которому через год должно быть получено S руб. </t>
  </si>
  <si>
    <t>(номинальная стоимость векселя). В момент приобретения цена векселя составляла P руб.</t>
  </si>
  <si>
    <t>Сумма процентов и сумма накопленного долга (простые проценты)</t>
  </si>
  <si>
    <t>Сумма процентов</t>
  </si>
  <si>
    <t>S = P + I = P + Pni = P(1+ni)</t>
  </si>
  <si>
    <t xml:space="preserve"> I = pni</t>
  </si>
  <si>
    <t>Сумма накопленного долга</t>
  </si>
  <si>
    <t>(без изменения размера ставки)</t>
  </si>
  <si>
    <t>Ставка за первый срок</t>
  </si>
  <si>
    <r>
      <t>i</t>
    </r>
    <r>
      <rPr>
        <vertAlign val="subscript"/>
        <sz val="10"/>
        <rFont val="Arial Cyr"/>
        <family val="2"/>
      </rPr>
      <t>1</t>
    </r>
  </si>
  <si>
    <r>
      <t>n</t>
    </r>
    <r>
      <rPr>
        <vertAlign val="subscript"/>
        <sz val="10"/>
        <rFont val="Arial Cyr"/>
        <family val="2"/>
      </rPr>
      <t>1</t>
    </r>
  </si>
  <si>
    <r>
      <t>i</t>
    </r>
    <r>
      <rPr>
        <vertAlign val="subscript"/>
        <sz val="10"/>
        <rFont val="Arial Cyr"/>
        <family val="2"/>
      </rPr>
      <t>2</t>
    </r>
  </si>
  <si>
    <r>
      <t>n</t>
    </r>
    <r>
      <rPr>
        <vertAlign val="subscript"/>
        <sz val="10"/>
        <rFont val="Arial Cyr"/>
        <family val="2"/>
      </rPr>
      <t>2</t>
    </r>
  </si>
  <si>
    <t>Сумма кредита</t>
  </si>
  <si>
    <t>Увеличение ставки за каждый след. срок 2</t>
  </si>
  <si>
    <t>Кол-во периодов срок 2</t>
  </si>
  <si>
    <t>m-1</t>
  </si>
  <si>
    <t>Общий период кредитования</t>
  </si>
  <si>
    <t>N</t>
  </si>
  <si>
    <t>Продолжительность периода срок 2</t>
  </si>
  <si>
    <t>(при переменном размере ставки)</t>
  </si>
  <si>
    <t>Наращенная ставка при переменной</t>
  </si>
  <si>
    <t>процентной ставке</t>
  </si>
  <si>
    <r>
      <t>S</t>
    </r>
    <r>
      <rPr>
        <vertAlign val="subscript"/>
        <sz val="11"/>
        <rFont val="Arial Cyr"/>
        <family val="2"/>
      </rPr>
      <t>n</t>
    </r>
    <r>
      <rPr>
        <sz val="11"/>
        <rFont val="Arial Cyr"/>
        <family val="2"/>
      </rPr>
      <t xml:space="preserve"> = P(1 + i)</t>
    </r>
    <r>
      <rPr>
        <vertAlign val="superscript"/>
        <sz val="11"/>
        <rFont val="Arial Cyr"/>
        <family val="2"/>
      </rPr>
      <t>n</t>
    </r>
  </si>
  <si>
    <t>Сумма накопленного долга (сложные проценты)</t>
  </si>
  <si>
    <t>формула</t>
  </si>
  <si>
    <t>БЗ</t>
  </si>
  <si>
    <t>(без изменения ставки)</t>
  </si>
  <si>
    <t>Количество периодов</t>
  </si>
  <si>
    <t>Процентная ставка на период</t>
  </si>
  <si>
    <t>(с изменением ставки)</t>
  </si>
  <si>
    <t>4 год</t>
  </si>
  <si>
    <t>5 год</t>
  </si>
  <si>
    <t>n4</t>
  </si>
  <si>
    <t>n5</t>
  </si>
  <si>
    <t>6 год</t>
  </si>
  <si>
    <t>7 год</t>
  </si>
  <si>
    <t>8 год</t>
  </si>
  <si>
    <t>9 год</t>
  </si>
  <si>
    <t>10 год</t>
  </si>
  <si>
    <t>n6</t>
  </si>
  <si>
    <t>n7</t>
  </si>
  <si>
    <t>n8</t>
  </si>
  <si>
    <t>n9</t>
  </si>
  <si>
    <t>n10</t>
  </si>
  <si>
    <t>Приведенная</t>
  </si>
  <si>
    <t>Сумма долга, подлежащая погашению</t>
  </si>
  <si>
    <t>в конце срока займа:</t>
  </si>
  <si>
    <t>n11</t>
  </si>
  <si>
    <t>n12</t>
  </si>
  <si>
    <t>11 год</t>
  </si>
  <si>
    <t>12 год</t>
  </si>
  <si>
    <r>
      <t>S = P (1 + j / m)</t>
    </r>
    <r>
      <rPr>
        <vertAlign val="superscript"/>
        <sz val="10"/>
        <rFont val="Arial Cyr"/>
        <family val="2"/>
      </rPr>
      <t>N</t>
    </r>
  </si>
  <si>
    <t>N = nm</t>
  </si>
  <si>
    <t>Начисления (раз в год)</t>
  </si>
  <si>
    <t>месяц</t>
  </si>
  <si>
    <t>Процентная ставка годовых</t>
  </si>
  <si>
    <t>Срок - целых лет</t>
  </si>
  <si>
    <t xml:space="preserve">           и кол-во дней</t>
  </si>
  <si>
    <r>
      <t>S = P ( 1 + i )</t>
    </r>
    <r>
      <rPr>
        <vertAlign val="superscript"/>
        <sz val="10"/>
        <rFont val="Arial Cyr"/>
        <family val="2"/>
      </rPr>
      <t>a+b</t>
    </r>
  </si>
  <si>
    <r>
      <t>S = P ( 1 + i )</t>
    </r>
    <r>
      <rPr>
        <vertAlign val="superscript"/>
        <sz val="10"/>
        <rFont val="Arial Cyr"/>
        <family val="2"/>
      </rPr>
      <t xml:space="preserve">a </t>
    </r>
    <r>
      <rPr>
        <sz val="10"/>
        <rFont val="Arial Cyr"/>
        <family val="2"/>
      </rPr>
      <t>( 1 + b i )</t>
    </r>
  </si>
  <si>
    <t>a</t>
  </si>
  <si>
    <t>b</t>
  </si>
  <si>
    <t>в) Формула простых процентов :</t>
  </si>
  <si>
    <t>(без изменения ставки, сравнение трех методов расчетов)</t>
  </si>
  <si>
    <t>Номинальная и эффективная ставки</t>
  </si>
  <si>
    <t>Взаимный перерасчет</t>
  </si>
  <si>
    <t>Кол-во начислений в году</t>
  </si>
  <si>
    <t>Исходное значение номинальной ставки, %</t>
  </si>
  <si>
    <t>Эффективная ставка</t>
  </si>
  <si>
    <t>Исходное значение эффективной ставки, %</t>
  </si>
  <si>
    <t>Эффективная ставка, %</t>
  </si>
  <si>
    <t>Номинальная ставка, %</t>
  </si>
  <si>
    <t>(функции =ЭФФЕКТ() и =НОМИНАЛ())</t>
  </si>
  <si>
    <t>аналогичные финансовые результаты при соответствующих значениях</t>
  </si>
  <si>
    <t>номинальной и эффективной ставок</t>
  </si>
  <si>
    <t>Следовательно, i и j эквивалентны в финансовом отношении</t>
  </si>
  <si>
    <t>б) ежедневно :</t>
  </si>
  <si>
    <t>Дисконтированная стоимость</t>
  </si>
  <si>
    <t>Требуемая сумма в конце срока</t>
  </si>
  <si>
    <t>Ставка годовых</t>
  </si>
  <si>
    <t>Кол-во начислений в год</t>
  </si>
  <si>
    <t>Исходня сумма в начале срока</t>
  </si>
  <si>
    <t>(современная величина)</t>
  </si>
  <si>
    <t>P =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</si>
</sst>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0"/>
    <numFmt numFmtId="167" formatCode="0.0000"/>
    <numFmt numFmtId="168" formatCode="0.00000000"/>
    <numFmt numFmtId="169" formatCode="0.0000000"/>
    <numFmt numFmtId="170" formatCode="0.000000"/>
    <numFmt numFmtId="171" formatCode="#&quot; &quot;???/???"/>
  </numFmts>
  <fonts count="7">
    <font>
      <sz val="10"/>
      <name val="Arial Cyr"/>
      <family val="0"/>
    </font>
    <font>
      <sz val="12"/>
      <name val="Arial Cyr"/>
      <family val="2"/>
    </font>
    <font>
      <vertAlign val="subscript"/>
      <sz val="10"/>
      <name val="Arial Cyr"/>
      <family val="2"/>
    </font>
    <font>
      <sz val="11"/>
      <name val="Arial Cyr"/>
      <family val="2"/>
    </font>
    <font>
      <vertAlign val="subscript"/>
      <sz val="11"/>
      <name val="Arial Cyr"/>
      <family val="2"/>
    </font>
    <font>
      <vertAlign val="superscript"/>
      <sz val="11"/>
      <name val="Arial Cyr"/>
      <family val="2"/>
    </font>
    <font>
      <vertAlign val="superscript"/>
      <sz val="10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2" borderId="1" xfId="0" applyFill="1" applyBorder="1" applyAlignment="1">
      <alignment/>
    </xf>
    <xf numFmtId="164" fontId="0" fillId="2" borderId="1" xfId="0" applyNumberFormat="1" applyFill="1" applyBorder="1" applyAlignment="1">
      <alignment/>
    </xf>
    <xf numFmtId="0" fontId="0" fillId="0" borderId="0" xfId="0" applyFont="1" applyAlignment="1">
      <alignment/>
    </xf>
    <xf numFmtId="13" fontId="0" fillId="2" borderId="1" xfId="0" applyNumberForma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right"/>
    </xf>
    <xf numFmtId="167" fontId="0" fillId="0" borderId="0" xfId="0" applyNumberFormat="1" applyAlignment="1">
      <alignment horizontal="right"/>
    </xf>
    <xf numFmtId="2" fontId="0" fillId="2" borderId="1" xfId="0" applyNumberFormat="1" applyFill="1" applyBorder="1" applyAlignment="1">
      <alignment horizontal="right"/>
    </xf>
    <xf numFmtId="0" fontId="0" fillId="0" borderId="3" xfId="0" applyBorder="1" applyAlignment="1">
      <alignment/>
    </xf>
    <xf numFmtId="0" fontId="0" fillId="0" borderId="2" xfId="0" applyBorder="1" applyAlignment="1">
      <alignment/>
    </xf>
    <xf numFmtId="0" fontId="0" fillId="0" borderId="4" xfId="0" applyFill="1" applyBorder="1" applyAlignment="1">
      <alignment/>
    </xf>
    <xf numFmtId="168" fontId="0" fillId="0" borderId="0" xfId="0" applyNumberFormat="1" applyAlignment="1">
      <alignment/>
    </xf>
    <xf numFmtId="170" fontId="0" fillId="0" borderId="0" xfId="0" applyNumberFormat="1" applyAlignment="1">
      <alignment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4" xfId="0" applyBorder="1" applyAlignment="1">
      <alignment/>
    </xf>
    <xf numFmtId="170" fontId="0" fillId="0" borderId="2" xfId="0" applyNumberFormat="1" applyBorder="1" applyAlignment="1">
      <alignment/>
    </xf>
    <xf numFmtId="170" fontId="0" fillId="2" borderId="1" xfId="0" applyNumberFormat="1" applyFill="1" applyBorder="1" applyAlignment="1">
      <alignment/>
    </xf>
    <xf numFmtId="0" fontId="0" fillId="0" borderId="8" xfId="0" applyBorder="1" applyAlignment="1">
      <alignment/>
    </xf>
    <xf numFmtId="168" fontId="0" fillId="3" borderId="1" xfId="0" applyNumberFormat="1" applyFill="1" applyBorder="1" applyAlignment="1">
      <alignment/>
    </xf>
    <xf numFmtId="170" fontId="0" fillId="0" borderId="8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8.emf" /><Relationship Id="rId3" Type="http://schemas.openxmlformats.org/officeDocument/2006/relationships/image" Target="../media/image5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5.emf" /><Relationship Id="rId3" Type="http://schemas.openxmlformats.org/officeDocument/2006/relationships/image" Target="../media/image7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9_0.bin" /><Relationship Id="rId2" Type="http://schemas.openxmlformats.org/officeDocument/2006/relationships/oleObject" Target="../embeddings/oleObject_9_1.bin" /><Relationship Id="rId3" Type="http://schemas.openxmlformats.org/officeDocument/2006/relationships/oleObject" Target="../embeddings/oleObject_9_2.bin" /><Relationship Id="rId4" Type="http://schemas.openxmlformats.org/officeDocument/2006/relationships/vmlDrawing" Target="../drawings/vmlDrawing5.vml" /><Relationship Id="rId5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oleObject" Target="../embeddings/oleObject_8_1.bin" /><Relationship Id="rId3" Type="http://schemas.openxmlformats.org/officeDocument/2006/relationships/oleObject" Target="../embeddings/oleObject_8_2.bin" /><Relationship Id="rId4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E15"/>
  <sheetViews>
    <sheetView tabSelected="1" workbookViewId="0" topLeftCell="A1">
      <selection activeCell="D15" sqref="D15"/>
    </sheetView>
  </sheetViews>
  <sheetFormatPr defaultColWidth="9.00390625" defaultRowHeight="12.75"/>
  <cols>
    <col min="1" max="1" width="29.125" style="0" customWidth="1"/>
  </cols>
  <sheetData>
    <row r="1" ht="12.75">
      <c r="A1" t="s">
        <v>50</v>
      </c>
    </row>
    <row r="2" ht="15">
      <c r="A2" s="7" t="s">
        <v>51</v>
      </c>
    </row>
    <row r="3" ht="12.75">
      <c r="A3" t="s">
        <v>53</v>
      </c>
    </row>
    <row r="4" ht="12.75">
      <c r="A4" t="s">
        <v>54</v>
      </c>
    </row>
    <row r="5" ht="12.75">
      <c r="A5" t="s">
        <v>52</v>
      </c>
    </row>
    <row r="6" ht="9" customHeight="1"/>
    <row r="7" spans="1:4" ht="12.75">
      <c r="A7" s="2" t="s">
        <v>0</v>
      </c>
      <c r="B7" s="3" t="s">
        <v>2</v>
      </c>
      <c r="C7" s="2" t="s">
        <v>4</v>
      </c>
      <c r="D7" s="9">
        <v>30</v>
      </c>
    </row>
    <row r="8" spans="1:4" ht="12.75">
      <c r="A8" s="2" t="s">
        <v>1</v>
      </c>
      <c r="B8" s="3" t="s">
        <v>3</v>
      </c>
      <c r="C8" s="2" t="s">
        <v>4</v>
      </c>
      <c r="D8" s="9">
        <v>20</v>
      </c>
    </row>
    <row r="9" spans="1:4" ht="12.75">
      <c r="A9" s="2" t="s">
        <v>5</v>
      </c>
      <c r="B9" s="3" t="s">
        <v>6</v>
      </c>
      <c r="C9" s="2" t="s">
        <v>7</v>
      </c>
      <c r="D9" s="9">
        <v>1</v>
      </c>
    </row>
    <row r="10" ht="7.5" customHeight="1"/>
    <row r="11" ht="12.75">
      <c r="A11" s="5" t="s">
        <v>49</v>
      </c>
    </row>
    <row r="12" spans="1:5" ht="12.75">
      <c r="A12" s="5" t="s">
        <v>48</v>
      </c>
      <c r="B12" t="str">
        <f>CONCATENATE(" = ",D7," - ",D8," = ")</f>
        <v> = 30 - 20 = </v>
      </c>
      <c r="D12" s="1">
        <f>D7-D8</f>
        <v>10</v>
      </c>
      <c r="E12" t="s">
        <v>8</v>
      </c>
    </row>
    <row r="13" ht="6.75" customHeight="1"/>
    <row r="14" ht="12.75">
      <c r="A14" s="5" t="s">
        <v>24</v>
      </c>
    </row>
    <row r="15" spans="2:4" ht="12.75">
      <c r="B15" t="str">
        <f>CONCATENATE(" = ",D12," / "," ( ",D8," * ",D9," ) = ")</f>
        <v> = 10 /  ( 20 * 1 ) = </v>
      </c>
      <c r="D15">
        <f>D12/(D8*D9)</f>
        <v>0.5</v>
      </c>
    </row>
  </sheetData>
  <printOptions/>
  <pageMargins left="0.75" right="0.75" top="1" bottom="1" header="0.5" footer="0.5"/>
  <pageSetup horizontalDpi="600" verticalDpi="600" orientation="portrait" paperSize="9" r:id="rId3"/>
  <legacyDrawing r:id="rId2"/>
  <oleObjects>
    <oleObject progId="Equation.3" shapeId="395050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8"/>
  <dimension ref="A1:I16"/>
  <sheetViews>
    <sheetView workbookViewId="0" topLeftCell="A1">
      <selection activeCell="H8" sqref="H8"/>
    </sheetView>
  </sheetViews>
  <sheetFormatPr defaultColWidth="9.00390625" defaultRowHeight="12.75"/>
  <cols>
    <col min="3" max="3" width="11.75390625" style="0" customWidth="1"/>
    <col min="5" max="5" width="5.125" style="0" customWidth="1"/>
    <col min="7" max="7" width="5.375" style="0" customWidth="1"/>
    <col min="8" max="8" width="12.25390625" style="0" customWidth="1"/>
    <col min="9" max="9" width="8.25390625" style="0" customWidth="1"/>
  </cols>
  <sheetData>
    <row r="1" ht="12.75">
      <c r="A1" t="s">
        <v>50</v>
      </c>
    </row>
    <row r="2" ht="15">
      <c r="A2" s="7" t="s">
        <v>42</v>
      </c>
    </row>
    <row r="4" spans="1:5" ht="12.75">
      <c r="A4" s="2" t="s">
        <v>43</v>
      </c>
      <c r="B4" s="3" t="s">
        <v>11</v>
      </c>
      <c r="C4" s="8" t="s">
        <v>4</v>
      </c>
      <c r="D4" s="8">
        <v>80</v>
      </c>
      <c r="E4" s="34"/>
    </row>
    <row r="5" spans="1:5" ht="12.75">
      <c r="A5" s="2" t="s">
        <v>10</v>
      </c>
      <c r="B5" s="3" t="s">
        <v>6</v>
      </c>
      <c r="C5" s="2" t="s">
        <v>7</v>
      </c>
      <c r="D5" s="8">
        <v>4</v>
      </c>
      <c r="E5" s="34"/>
    </row>
    <row r="6" spans="1:5" ht="12.75">
      <c r="A6" s="2" t="s">
        <v>44</v>
      </c>
      <c r="B6" s="3" t="s">
        <v>34</v>
      </c>
      <c r="C6" s="2" t="s">
        <v>13</v>
      </c>
      <c r="D6" s="8">
        <v>12</v>
      </c>
      <c r="E6" s="34"/>
    </row>
    <row r="7" ht="12.75">
      <c r="E7" s="34"/>
    </row>
    <row r="8" spans="1:9" ht="12.75">
      <c r="A8" t="s">
        <v>45</v>
      </c>
      <c r="E8" s="34"/>
      <c r="F8" t="s">
        <v>47</v>
      </c>
      <c r="H8" s="22">
        <f>D4*EXP(D6/100*D5)</f>
        <v>129.28595217543148</v>
      </c>
      <c r="I8" t="str">
        <f>C4</f>
        <v>млн.руб.</v>
      </c>
    </row>
    <row r="9" ht="12.75">
      <c r="E9" s="34"/>
    </row>
    <row r="10" spans="3:5" ht="12.75">
      <c r="C10" s="22">
        <f>D4*POWER(1+D6/100,D5)</f>
        <v>125.88154880000003</v>
      </c>
      <c r="D10" t="str">
        <f>C4</f>
        <v>млн.руб.</v>
      </c>
      <c r="E10" s="34"/>
    </row>
    <row r="11" spans="1:9" ht="13.5" thickBot="1">
      <c r="A11" s="31"/>
      <c r="B11" s="31"/>
      <c r="C11" s="33"/>
      <c r="D11" s="31"/>
      <c r="E11" s="35"/>
      <c r="F11" s="31"/>
      <c r="G11" s="31"/>
      <c r="H11" s="31"/>
      <c r="I11" s="31"/>
    </row>
    <row r="12" ht="12.75">
      <c r="E12" s="34"/>
    </row>
    <row r="13" spans="1:5" ht="12.75">
      <c r="A13" t="s">
        <v>130</v>
      </c>
      <c r="C13" t="s">
        <v>46</v>
      </c>
      <c r="D13" s="8">
        <v>365</v>
      </c>
      <c r="E13" s="34" t="s">
        <v>26</v>
      </c>
    </row>
    <row r="14" ht="12.75">
      <c r="E14" s="34"/>
    </row>
    <row r="15" spans="3:5" ht="12.75">
      <c r="C15" s="22">
        <f>D4*POWER(1+D6/100/D13,D13*D5)</f>
        <v>129.2757536200868</v>
      </c>
      <c r="D15" t="str">
        <f>C4</f>
        <v>млн.руб.</v>
      </c>
      <c r="E15" s="34"/>
    </row>
    <row r="16" ht="12.75">
      <c r="E16" s="34"/>
    </row>
  </sheetData>
  <printOptions/>
  <pageMargins left="0.75" right="0.75" top="1" bottom="1" header="0.5" footer="0.5"/>
  <pageSetup horizontalDpi="300" verticalDpi="300" orientation="portrait" paperSize="9" r:id="rId5"/>
  <legacyDrawing r:id="rId4"/>
  <oleObjects>
    <oleObject progId="Equation.3" shapeId="219591" r:id="rId1"/>
    <oleObject progId="Equation.3" shapeId="226740" r:id="rId2"/>
    <oleObject progId="Equation.3" shapeId="235087" r:id="rId3"/>
  </oleObjects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9"/>
  <dimension ref="A1:D11"/>
  <sheetViews>
    <sheetView workbookViewId="0" topLeftCell="A3">
      <selection activeCell="B11" sqref="B11"/>
    </sheetView>
  </sheetViews>
  <sheetFormatPr defaultColWidth="9.00390625" defaultRowHeight="12.75"/>
  <cols>
    <col min="1" max="1" width="31.25390625" style="0" customWidth="1"/>
    <col min="2" max="2" width="12.375" style="0" customWidth="1"/>
    <col min="4" max="4" width="11.375" style="0" customWidth="1"/>
  </cols>
  <sheetData>
    <row r="1" ht="12.75">
      <c r="A1" t="s">
        <v>50</v>
      </c>
    </row>
    <row r="2" ht="15">
      <c r="A2" s="7" t="s">
        <v>131</v>
      </c>
    </row>
    <row r="4" spans="1:4" ht="12.75">
      <c r="A4" s="2" t="s">
        <v>132</v>
      </c>
      <c r="B4" s="3" t="s">
        <v>2</v>
      </c>
      <c r="C4" s="8" t="s">
        <v>4</v>
      </c>
      <c r="D4" s="8">
        <v>32</v>
      </c>
    </row>
    <row r="5" spans="1:4" ht="12.75">
      <c r="A5" s="2" t="s">
        <v>133</v>
      </c>
      <c r="B5" s="3" t="s">
        <v>12</v>
      </c>
      <c r="C5" s="2" t="s">
        <v>13</v>
      </c>
      <c r="D5" s="8">
        <v>18</v>
      </c>
    </row>
    <row r="6" spans="1:4" ht="12.75">
      <c r="A6" s="2" t="s">
        <v>10</v>
      </c>
      <c r="B6" s="3" t="s">
        <v>6</v>
      </c>
      <c r="C6" s="2" t="s">
        <v>7</v>
      </c>
      <c r="D6" s="8">
        <v>4</v>
      </c>
    </row>
    <row r="7" spans="1:4" ht="12.75">
      <c r="A7" s="2" t="s">
        <v>134</v>
      </c>
      <c r="B7" s="3" t="s">
        <v>36</v>
      </c>
      <c r="C7" s="2"/>
      <c r="D7" s="8">
        <v>4</v>
      </c>
    </row>
    <row r="9" ht="12.75">
      <c r="A9" t="s">
        <v>135</v>
      </c>
    </row>
    <row r="10" ht="12.75">
      <c r="A10" t="s">
        <v>136</v>
      </c>
    </row>
    <row r="11" spans="1:3" ht="12.75">
      <c r="A11" s="5" t="s">
        <v>137</v>
      </c>
      <c r="B11" s="22">
        <f>PV(D5/100/D7,D6*D7,,D4)</f>
        <v>-15.82301832928668</v>
      </c>
      <c r="C11" t="str">
        <f>C4</f>
        <v>млн.руб.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D13"/>
  <sheetViews>
    <sheetView workbookViewId="0" topLeftCell="A1">
      <selection activeCell="C13" sqref="C13"/>
    </sheetView>
  </sheetViews>
  <sheetFormatPr defaultColWidth="9.00390625" defaultRowHeight="12.75"/>
  <cols>
    <col min="1" max="1" width="27.875" style="0" customWidth="1"/>
    <col min="2" max="2" width="5.875" style="0" customWidth="1"/>
  </cols>
  <sheetData>
    <row r="1" ht="12.75">
      <c r="A1" t="s">
        <v>50</v>
      </c>
    </row>
    <row r="2" ht="15">
      <c r="A2" s="7" t="s">
        <v>55</v>
      </c>
    </row>
    <row r="3" ht="12.75">
      <c r="A3" t="s">
        <v>60</v>
      </c>
    </row>
    <row r="5" spans="1:4" ht="12.75">
      <c r="A5" s="2" t="s">
        <v>9</v>
      </c>
      <c r="B5" s="3" t="s">
        <v>11</v>
      </c>
      <c r="C5" s="2" t="s">
        <v>4</v>
      </c>
      <c r="D5" s="8">
        <v>42</v>
      </c>
    </row>
    <row r="6" spans="1:4" ht="12.75">
      <c r="A6" s="2" t="s">
        <v>14</v>
      </c>
      <c r="B6" s="3" t="s">
        <v>12</v>
      </c>
      <c r="C6" s="2" t="s">
        <v>13</v>
      </c>
      <c r="D6" s="8">
        <v>60</v>
      </c>
    </row>
    <row r="7" spans="1:4" ht="12.75">
      <c r="A7" s="2" t="s">
        <v>10</v>
      </c>
      <c r="B7" s="3" t="s">
        <v>6</v>
      </c>
      <c r="C7" s="2" t="s">
        <v>7</v>
      </c>
      <c r="D7" s="8">
        <v>1.5</v>
      </c>
    </row>
    <row r="9" ht="12.75">
      <c r="A9" t="s">
        <v>56</v>
      </c>
    </row>
    <row r="10" spans="1:3" ht="12.75">
      <c r="A10" t="s">
        <v>58</v>
      </c>
      <c r="B10">
        <f>D7*D5*D6/100</f>
        <v>37.8</v>
      </c>
      <c r="C10" t="s">
        <v>4</v>
      </c>
    </row>
    <row r="12" ht="12.75">
      <c r="A12" t="s">
        <v>59</v>
      </c>
    </row>
    <row r="13" spans="1:3" ht="12.75">
      <c r="A13" t="s">
        <v>57</v>
      </c>
      <c r="B13">
        <f>D5*(1+D7*(D6/100))</f>
        <v>79.8</v>
      </c>
      <c r="C13" t="s">
        <v>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1"/>
  <dimension ref="A1:F14"/>
  <sheetViews>
    <sheetView workbookViewId="0" topLeftCell="A2">
      <selection activeCell="E14" sqref="E14"/>
    </sheetView>
  </sheetViews>
  <sheetFormatPr defaultColWidth="9.00390625" defaultRowHeight="12.75"/>
  <cols>
    <col min="1" max="1" width="38.00390625" style="0" customWidth="1"/>
    <col min="2" max="2" width="4.625" style="0" customWidth="1"/>
    <col min="3" max="3" width="7.875" style="0" customWidth="1"/>
    <col min="4" max="4" width="6.375" style="0" customWidth="1"/>
    <col min="6" max="6" width="10.75390625" style="0" customWidth="1"/>
  </cols>
  <sheetData>
    <row r="1" ht="12.75">
      <c r="A1" t="s">
        <v>50</v>
      </c>
    </row>
    <row r="2" ht="15">
      <c r="A2" s="7" t="s">
        <v>55</v>
      </c>
    </row>
    <row r="3" ht="12" customHeight="1">
      <c r="A3" s="10" t="s">
        <v>73</v>
      </c>
    </row>
    <row r="5" spans="1:5" ht="15.75">
      <c r="A5" s="2" t="s">
        <v>61</v>
      </c>
      <c r="B5" s="3" t="s">
        <v>62</v>
      </c>
      <c r="C5" s="2" t="s">
        <v>13</v>
      </c>
      <c r="D5" s="8">
        <v>50</v>
      </c>
      <c r="E5" t="s">
        <v>74</v>
      </c>
    </row>
    <row r="6" spans="1:5" ht="15.75">
      <c r="A6" s="2" t="s">
        <v>16</v>
      </c>
      <c r="B6" s="3" t="s">
        <v>63</v>
      </c>
      <c r="C6" s="2" t="s">
        <v>7</v>
      </c>
      <c r="D6" s="11">
        <v>0.08333333333333333</v>
      </c>
      <c r="E6" t="s">
        <v>75</v>
      </c>
    </row>
    <row r="7" spans="1:4" ht="12.75">
      <c r="A7" s="2" t="s">
        <v>67</v>
      </c>
      <c r="B7" s="3" t="s">
        <v>64</v>
      </c>
      <c r="C7" s="2" t="s">
        <v>13</v>
      </c>
      <c r="D7" s="8">
        <v>2</v>
      </c>
    </row>
    <row r="8" spans="1:4" ht="12.75">
      <c r="A8" s="2" t="s">
        <v>72</v>
      </c>
      <c r="B8" s="3" t="s">
        <v>65</v>
      </c>
      <c r="C8" s="2" t="s">
        <v>7</v>
      </c>
      <c r="D8" s="11">
        <v>0.08333333333333333</v>
      </c>
    </row>
    <row r="9" spans="1:4" ht="12.75">
      <c r="A9" s="2" t="s">
        <v>68</v>
      </c>
      <c r="B9" s="3" t="s">
        <v>69</v>
      </c>
      <c r="C9" s="2"/>
      <c r="D9" s="8">
        <v>11</v>
      </c>
    </row>
    <row r="10" spans="1:4" ht="12.75">
      <c r="A10" s="2" t="s">
        <v>66</v>
      </c>
      <c r="B10" s="3" t="s">
        <v>3</v>
      </c>
      <c r="C10" s="8" t="s">
        <v>4</v>
      </c>
      <c r="D10" s="8">
        <v>60</v>
      </c>
    </row>
    <row r="12" spans="1:4" ht="12.75">
      <c r="A12" t="s">
        <v>70</v>
      </c>
      <c r="B12" s="6" t="s">
        <v>71</v>
      </c>
      <c r="C12" t="s">
        <v>7</v>
      </c>
      <c r="D12">
        <f>D6+D9*D8</f>
        <v>1</v>
      </c>
    </row>
    <row r="14" spans="5:6" ht="12.75">
      <c r="E14">
        <f>D10*(1+$D$6*$D$5/100+СуммПроцПеремСтавки(D5,D7,D9,D8)/100)</f>
        <v>96.59999923706054</v>
      </c>
      <c r="F14" t="str">
        <f>C10</f>
        <v>млн.руб.</v>
      </c>
    </row>
  </sheetData>
  <printOptions/>
  <pageMargins left="0.75" right="0.75" top="1" bottom="1" header="0.5" footer="0.5"/>
  <pageSetup horizontalDpi="600" verticalDpi="600" orientation="portrait" paperSize="9" r:id="rId4"/>
  <legacyDrawing r:id="rId3"/>
  <oleObjects>
    <oleObject progId="Equation.3" shapeId="27689" r:id="rId1"/>
    <oleObject progId="Equation.3" shapeId="911023" r:id="rId2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A1:F11"/>
  <sheetViews>
    <sheetView workbookViewId="0" topLeftCell="A1">
      <selection activeCell="E10" sqref="E10"/>
    </sheetView>
  </sheetViews>
  <sheetFormatPr defaultColWidth="9.00390625" defaultRowHeight="12.75"/>
  <cols>
    <col min="1" max="1" width="27.25390625" style="0" customWidth="1"/>
  </cols>
  <sheetData>
    <row r="1" ht="12.75">
      <c r="A1" t="s">
        <v>50</v>
      </c>
    </row>
    <row r="2" ht="15">
      <c r="A2" s="7" t="s">
        <v>77</v>
      </c>
    </row>
    <row r="3" ht="12.75">
      <c r="A3" t="s">
        <v>80</v>
      </c>
    </row>
    <row r="5" spans="1:4" ht="12.75">
      <c r="A5" s="2" t="s">
        <v>17</v>
      </c>
      <c r="B5" s="2" t="s">
        <v>11</v>
      </c>
      <c r="C5" s="8" t="s">
        <v>8</v>
      </c>
      <c r="D5" s="8">
        <v>40</v>
      </c>
    </row>
    <row r="6" spans="1:4" ht="12.75">
      <c r="A6" s="2" t="s">
        <v>81</v>
      </c>
      <c r="B6" s="2" t="s">
        <v>6</v>
      </c>
      <c r="C6" s="8" t="s">
        <v>7</v>
      </c>
      <c r="D6" s="8">
        <v>3</v>
      </c>
    </row>
    <row r="7" spans="1:4" ht="12.75">
      <c r="A7" s="2" t="s">
        <v>82</v>
      </c>
      <c r="B7" s="2" t="s">
        <v>12</v>
      </c>
      <c r="C7" s="2" t="s">
        <v>13</v>
      </c>
      <c r="D7" s="8">
        <v>32</v>
      </c>
    </row>
    <row r="8" spans="1:3" ht="12.75">
      <c r="A8" s="13"/>
      <c r="B8" s="13"/>
      <c r="C8" s="13"/>
    </row>
    <row r="9" spans="2:5" ht="12.75">
      <c r="B9" s="6" t="s">
        <v>78</v>
      </c>
      <c r="E9" s="6" t="s">
        <v>79</v>
      </c>
    </row>
    <row r="10" spans="1:6" ht="12.75">
      <c r="A10" t="s">
        <v>20</v>
      </c>
      <c r="B10">
        <f>D5*POWER(1+D7/100,D6)</f>
        <v>91.99872</v>
      </c>
      <c r="C10" t="str">
        <f>C5</f>
        <v>млн.руб</v>
      </c>
      <c r="E10">
        <f>FV(D7/100,D6,,D5,0)</f>
        <v>-91.99872</v>
      </c>
      <c r="F10" t="str">
        <f>C5</f>
        <v>млн.руб</v>
      </c>
    </row>
    <row r="11" ht="18.75">
      <c r="B11" s="12" t="s">
        <v>76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1"/>
  <dimension ref="A1:I18"/>
  <sheetViews>
    <sheetView workbookViewId="0" topLeftCell="A1">
      <selection activeCell="A2" sqref="A2:A3"/>
    </sheetView>
  </sheetViews>
  <sheetFormatPr defaultColWidth="9.00390625" defaultRowHeight="12.75"/>
  <cols>
    <col min="1" max="1" width="17.00390625" style="0" customWidth="1"/>
    <col min="2" max="2" width="5.125" style="0" customWidth="1"/>
    <col min="3" max="3" width="8.375" style="0" customWidth="1"/>
    <col min="4" max="4" width="11.75390625" style="0" customWidth="1"/>
    <col min="5" max="5" width="10.125" style="0" customWidth="1"/>
    <col min="6" max="6" width="1.25" style="0" customWidth="1"/>
    <col min="7" max="7" width="19.625" style="0" customWidth="1"/>
  </cols>
  <sheetData>
    <row r="1" ht="12.75">
      <c r="A1" t="s">
        <v>50</v>
      </c>
    </row>
    <row r="2" ht="15">
      <c r="A2" s="7" t="s">
        <v>77</v>
      </c>
    </row>
    <row r="3" ht="12.75">
      <c r="A3" t="s">
        <v>83</v>
      </c>
    </row>
    <row r="4" ht="12" customHeight="1"/>
    <row r="5" spans="1:4" ht="12.75">
      <c r="A5" s="2" t="s">
        <v>17</v>
      </c>
      <c r="B5" s="2" t="s">
        <v>11</v>
      </c>
      <c r="C5" s="8" t="s">
        <v>4</v>
      </c>
      <c r="D5" s="8">
        <v>120</v>
      </c>
    </row>
    <row r="6" spans="1:5" ht="12.75">
      <c r="A6" s="18" t="s">
        <v>24</v>
      </c>
      <c r="B6" s="19"/>
      <c r="C6" s="14"/>
      <c r="D6" s="20"/>
      <c r="E6" t="s">
        <v>98</v>
      </c>
    </row>
    <row r="7" spans="1:9" ht="12.75">
      <c r="A7" s="15" t="s">
        <v>21</v>
      </c>
      <c r="B7" s="2" t="s">
        <v>18</v>
      </c>
      <c r="C7" s="3" t="s">
        <v>13</v>
      </c>
      <c r="D7" s="17">
        <v>11</v>
      </c>
      <c r="E7" s="16">
        <f>D7/100</f>
        <v>0.11</v>
      </c>
      <c r="I7" s="4"/>
    </row>
    <row r="8" spans="1:5" ht="12.75">
      <c r="A8" s="15" t="s">
        <v>22</v>
      </c>
      <c r="B8" s="2" t="s">
        <v>19</v>
      </c>
      <c r="C8" s="3" t="s">
        <v>13</v>
      </c>
      <c r="D8" s="17">
        <v>12</v>
      </c>
      <c r="E8" s="16">
        <f aca="true" t="shared" si="0" ref="E8:E18">D8/100</f>
        <v>0.12</v>
      </c>
    </row>
    <row r="9" spans="1:5" ht="12.75">
      <c r="A9" s="15" t="s">
        <v>23</v>
      </c>
      <c r="B9" s="2" t="s">
        <v>25</v>
      </c>
      <c r="C9" s="3" t="s">
        <v>13</v>
      </c>
      <c r="D9" s="17">
        <v>14</v>
      </c>
      <c r="E9" s="16">
        <f t="shared" si="0"/>
        <v>0.14</v>
      </c>
    </row>
    <row r="10" spans="1:5" ht="12.75">
      <c r="A10" s="15" t="s">
        <v>84</v>
      </c>
      <c r="B10" s="2" t="s">
        <v>86</v>
      </c>
      <c r="C10" s="3" t="s">
        <v>13</v>
      </c>
      <c r="D10" s="17">
        <v>16</v>
      </c>
      <c r="E10" s="16">
        <f t="shared" si="0"/>
        <v>0.16</v>
      </c>
    </row>
    <row r="11" spans="1:5" ht="12.75">
      <c r="A11" s="15" t="s">
        <v>85</v>
      </c>
      <c r="B11" s="2" t="s">
        <v>87</v>
      </c>
      <c r="C11" s="3" t="s">
        <v>13</v>
      </c>
      <c r="D11" s="17">
        <v>16</v>
      </c>
      <c r="E11" s="16">
        <f t="shared" si="0"/>
        <v>0.16</v>
      </c>
    </row>
    <row r="12" spans="1:5" ht="12.75">
      <c r="A12" s="15" t="s">
        <v>88</v>
      </c>
      <c r="B12" s="2" t="s">
        <v>93</v>
      </c>
      <c r="C12" s="3" t="s">
        <v>13</v>
      </c>
      <c r="D12" s="17">
        <v>16</v>
      </c>
      <c r="E12" s="16">
        <f t="shared" si="0"/>
        <v>0.16</v>
      </c>
    </row>
    <row r="13" spans="1:5" ht="12.75">
      <c r="A13" s="15" t="s">
        <v>89</v>
      </c>
      <c r="B13" s="2" t="s">
        <v>94</v>
      </c>
      <c r="C13" s="3" t="s">
        <v>13</v>
      </c>
      <c r="D13" s="17">
        <v>14</v>
      </c>
      <c r="E13" s="16">
        <f t="shared" si="0"/>
        <v>0.14</v>
      </c>
    </row>
    <row r="14" spans="1:5" ht="12.75">
      <c r="A14" s="15" t="s">
        <v>90</v>
      </c>
      <c r="B14" s="2" t="s">
        <v>95</v>
      </c>
      <c r="C14" s="3" t="s">
        <v>13</v>
      </c>
      <c r="D14" s="17">
        <v>12</v>
      </c>
      <c r="E14" s="16">
        <f t="shared" si="0"/>
        <v>0.12</v>
      </c>
    </row>
    <row r="15" spans="1:5" ht="12.75">
      <c r="A15" s="15" t="s">
        <v>91</v>
      </c>
      <c r="B15" s="2" t="s">
        <v>96</v>
      </c>
      <c r="C15" s="3" t="s">
        <v>13</v>
      </c>
      <c r="D15" s="17">
        <v>11</v>
      </c>
      <c r="E15" s="16">
        <f t="shared" si="0"/>
        <v>0.11</v>
      </c>
    </row>
    <row r="16" spans="1:7" ht="12.75">
      <c r="A16" s="15" t="s">
        <v>92</v>
      </c>
      <c r="B16" s="2" t="s">
        <v>97</v>
      </c>
      <c r="C16" s="3" t="s">
        <v>13</v>
      </c>
      <c r="D16" s="17">
        <v>11</v>
      </c>
      <c r="E16" s="16">
        <f t="shared" si="0"/>
        <v>0.11</v>
      </c>
      <c r="G16" t="s">
        <v>99</v>
      </c>
    </row>
    <row r="17" spans="1:7" ht="12.75">
      <c r="A17" s="15" t="s">
        <v>103</v>
      </c>
      <c r="B17" s="2" t="s">
        <v>101</v>
      </c>
      <c r="C17" s="3" t="s">
        <v>13</v>
      </c>
      <c r="D17" s="17">
        <v>11</v>
      </c>
      <c r="E17" s="16">
        <f t="shared" si="0"/>
        <v>0.11</v>
      </c>
      <c r="G17" t="s">
        <v>100</v>
      </c>
    </row>
    <row r="18" spans="1:8" ht="12.75">
      <c r="A18" s="15" t="s">
        <v>104</v>
      </c>
      <c r="B18" s="2" t="s">
        <v>102</v>
      </c>
      <c r="C18" s="3" t="s">
        <v>13</v>
      </c>
      <c r="D18" s="17">
        <v>11</v>
      </c>
      <c r="E18" s="16">
        <f t="shared" si="0"/>
        <v>0.11</v>
      </c>
      <c r="G18">
        <f>_XLL.БЗРАСПИС(D5,E7:E16)</f>
        <v>417.6090465534158</v>
      </c>
      <c r="H18" t="str">
        <f>C5</f>
        <v>млн.руб.</v>
      </c>
    </row>
  </sheetData>
  <printOptions/>
  <pageMargins left="0.75" right="0.75" top="1" bottom="1" header="0.5" footer="0.5"/>
  <pageSetup horizontalDpi="600" verticalDpi="600" orientation="portrait" paperSize="9" r:id="rId3"/>
  <legacyDrawing r:id="rId2"/>
  <oleObjects>
    <oleObject progId="Equation.3" shapeId="133509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4"/>
  <dimension ref="A1:G18"/>
  <sheetViews>
    <sheetView workbookViewId="0" topLeftCell="A1">
      <selection activeCell="C18" sqref="C18"/>
    </sheetView>
  </sheetViews>
  <sheetFormatPr defaultColWidth="9.00390625" defaultRowHeight="12.75"/>
  <cols>
    <col min="1" max="1" width="23.25390625" style="0" customWidth="1"/>
    <col min="2" max="2" width="6.00390625" style="0" customWidth="1"/>
    <col min="3" max="3" width="13.25390625" style="0" customWidth="1"/>
    <col min="5" max="5" width="2.00390625" style="0" customWidth="1"/>
    <col min="6" max="6" width="13.625" style="0" customWidth="1"/>
  </cols>
  <sheetData>
    <row r="1" ht="12.75">
      <c r="A1" t="s">
        <v>50</v>
      </c>
    </row>
    <row r="2" ht="15">
      <c r="A2" s="7" t="s">
        <v>59</v>
      </c>
    </row>
    <row r="3" ht="12.75">
      <c r="A3" t="s">
        <v>117</v>
      </c>
    </row>
    <row r="5" spans="1:4" ht="12.75">
      <c r="A5" s="2" t="s">
        <v>17</v>
      </c>
      <c r="B5" s="2" t="s">
        <v>11</v>
      </c>
      <c r="C5" s="8" t="s">
        <v>4</v>
      </c>
      <c r="D5" s="8">
        <v>250</v>
      </c>
    </row>
    <row r="6" spans="1:4" ht="12.75">
      <c r="A6" s="2" t="s">
        <v>110</v>
      </c>
      <c r="B6" s="2" t="s">
        <v>114</v>
      </c>
      <c r="C6" s="2" t="s">
        <v>7</v>
      </c>
      <c r="D6" s="8">
        <v>0.25</v>
      </c>
    </row>
    <row r="7" spans="1:4" ht="12.75">
      <c r="A7" s="23" t="s">
        <v>111</v>
      </c>
      <c r="B7" s="2" t="s">
        <v>115</v>
      </c>
      <c r="C7" s="2" t="s">
        <v>26</v>
      </c>
      <c r="D7" s="8">
        <v>0</v>
      </c>
    </row>
    <row r="8" spans="1:4" ht="12.75">
      <c r="A8" s="2" t="s">
        <v>24</v>
      </c>
      <c r="B8" s="2" t="s">
        <v>12</v>
      </c>
      <c r="C8" s="2" t="s">
        <v>13</v>
      </c>
      <c r="D8" s="8">
        <v>9.5</v>
      </c>
    </row>
    <row r="9" spans="1:4" ht="12.75">
      <c r="A9" s="2" t="s">
        <v>27</v>
      </c>
      <c r="B9" s="2" t="s">
        <v>28</v>
      </c>
      <c r="C9" s="2" t="s">
        <v>26</v>
      </c>
      <c r="D9" s="8">
        <v>360</v>
      </c>
    </row>
    <row r="11" spans="1:6" ht="14.25">
      <c r="A11" t="s">
        <v>29</v>
      </c>
      <c r="C11" s="24" t="s">
        <v>112</v>
      </c>
      <c r="F11" s="6" t="s">
        <v>79</v>
      </c>
    </row>
    <row r="12" spans="3:7" ht="12.75">
      <c r="C12" s="22">
        <f>D5*POWER(1+D8/100,D6+D7/D9)</f>
        <v>255.73698364027464</v>
      </c>
      <c r="D12" t="str">
        <f>C5</f>
        <v>млн.руб.</v>
      </c>
      <c r="F12" s="22">
        <f>FV(D8/100,D6+D7/D9,,D5,0)</f>
        <v>-255.73698364027464</v>
      </c>
      <c r="G12" t="str">
        <f>C5</f>
        <v>млн.руб.</v>
      </c>
    </row>
    <row r="14" spans="1:3" ht="14.25">
      <c r="A14" t="s">
        <v>30</v>
      </c>
      <c r="C14" s="24" t="s">
        <v>113</v>
      </c>
    </row>
    <row r="15" spans="3:4" ht="12.75">
      <c r="C15" s="22">
        <f>D5*POWER(1+D8/100,D6)*(1+D7/D9*D8/100)</f>
        <v>255.73698364027464</v>
      </c>
      <c r="D15" t="str">
        <f>C5</f>
        <v>млн.руб.</v>
      </c>
    </row>
    <row r="17" ht="12.75">
      <c r="A17" t="s">
        <v>116</v>
      </c>
    </row>
    <row r="18" spans="3:4" ht="12.75">
      <c r="C18" s="22">
        <f>D5*(1+D8/100*(D6+D7/D9))</f>
        <v>255.93749999999997</v>
      </c>
      <c r="D18" t="str">
        <f>C5</f>
        <v>млн.руб.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5"/>
  <dimension ref="A1:F15"/>
  <sheetViews>
    <sheetView workbookViewId="0" topLeftCell="A1">
      <selection activeCell="A8" sqref="A8"/>
    </sheetView>
  </sheetViews>
  <sheetFormatPr defaultColWidth="9.00390625" defaultRowHeight="12.75"/>
  <cols>
    <col min="1" max="1" width="25.25390625" style="0" customWidth="1"/>
    <col min="2" max="2" width="14.75390625" style="0" customWidth="1"/>
    <col min="6" max="6" width="14.00390625" style="0" customWidth="1"/>
  </cols>
  <sheetData>
    <row r="1" ht="12.75">
      <c r="A1" t="s">
        <v>50</v>
      </c>
    </row>
    <row r="2" ht="15">
      <c r="A2" s="7" t="s">
        <v>31</v>
      </c>
    </row>
    <row r="5" spans="1:4" ht="12.75">
      <c r="A5" s="2" t="s">
        <v>17</v>
      </c>
      <c r="B5" s="3" t="s">
        <v>11</v>
      </c>
      <c r="C5" s="8" t="s">
        <v>4</v>
      </c>
      <c r="D5" s="8">
        <v>140</v>
      </c>
    </row>
    <row r="6" spans="1:4" ht="12.75">
      <c r="A6" s="2" t="s">
        <v>10</v>
      </c>
      <c r="B6" s="3" t="s">
        <v>6</v>
      </c>
      <c r="C6" s="2" t="s">
        <v>108</v>
      </c>
      <c r="D6" s="8">
        <v>18</v>
      </c>
    </row>
    <row r="7" spans="1:4" ht="12.75">
      <c r="A7" s="2" t="s">
        <v>109</v>
      </c>
      <c r="B7" s="3" t="s">
        <v>34</v>
      </c>
      <c r="C7" s="2" t="s">
        <v>13</v>
      </c>
      <c r="D7" s="8">
        <v>16</v>
      </c>
    </row>
    <row r="8" spans="1:4" ht="12.75">
      <c r="A8" s="2" t="s">
        <v>107</v>
      </c>
      <c r="B8" s="3" t="s">
        <v>36</v>
      </c>
      <c r="C8" s="2"/>
      <c r="D8" s="8">
        <v>12</v>
      </c>
    </row>
    <row r="10" ht="12.75">
      <c r="A10" t="s">
        <v>35</v>
      </c>
    </row>
    <row r="11" ht="12.75">
      <c r="A11" t="s">
        <v>106</v>
      </c>
    </row>
    <row r="13" spans="1:6" ht="12.75">
      <c r="A13" t="s">
        <v>33</v>
      </c>
      <c r="F13" s="21"/>
    </row>
    <row r="14" spans="1:6" ht="14.25">
      <c r="A14" s="6" t="s">
        <v>105</v>
      </c>
      <c r="B14" s="21">
        <f>D5*POWER(1+D7/100/D8,D6/12*D8)</f>
        <v>177.6928510860552</v>
      </c>
      <c r="C14" t="str">
        <f>C5</f>
        <v>млн.руб.</v>
      </c>
      <c r="F14" s="21"/>
    </row>
    <row r="15" spans="1:3" ht="12.75">
      <c r="A15" s="6" t="s">
        <v>79</v>
      </c>
      <c r="B15" s="21">
        <f>FV(D7/100/D8,D6/12*D8,0,D5)</f>
        <v>-177.6928510860552</v>
      </c>
      <c r="C15" t="str">
        <f>C5</f>
        <v>млн.руб.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1">
      <selection activeCell="D9" sqref="D9"/>
    </sheetView>
  </sheetViews>
  <sheetFormatPr defaultColWidth="9.00390625" defaultRowHeight="12.75"/>
  <cols>
    <col min="1" max="1" width="14.625" style="0" customWidth="1"/>
    <col min="2" max="2" width="10.625" style="0" customWidth="1"/>
    <col min="4" max="4" width="10.625" style="0" bestFit="1" customWidth="1"/>
    <col min="5" max="5" width="9.625" style="0" bestFit="1" customWidth="1"/>
    <col min="6" max="6" width="7.00390625" style="0" customWidth="1"/>
  </cols>
  <sheetData>
    <row r="1" ht="12.75">
      <c r="A1" t="s">
        <v>118</v>
      </c>
    </row>
    <row r="2" spans="1:3" ht="15">
      <c r="A2" s="7" t="s">
        <v>119</v>
      </c>
      <c r="C2" t="s">
        <v>126</v>
      </c>
    </row>
    <row r="4" spans="1:5" ht="12.75">
      <c r="A4" s="18" t="s">
        <v>121</v>
      </c>
      <c r="B4" s="19"/>
      <c r="C4" s="19"/>
      <c r="D4" s="19"/>
      <c r="E4" s="8">
        <v>18</v>
      </c>
    </row>
    <row r="5" spans="1:5" ht="12.75">
      <c r="A5" t="s">
        <v>31</v>
      </c>
      <c r="E5">
        <f>E4/100</f>
        <v>0.18</v>
      </c>
    </row>
    <row r="7" spans="1:5" ht="12.75">
      <c r="A7" s="18" t="s">
        <v>120</v>
      </c>
      <c r="B7" s="19"/>
      <c r="C7" s="18" t="s">
        <v>124</v>
      </c>
      <c r="D7" s="19"/>
      <c r="E7" s="28"/>
    </row>
    <row r="8" spans="1:5" ht="12.75">
      <c r="A8" s="18"/>
      <c r="B8" s="19">
        <v>12</v>
      </c>
      <c r="C8" s="18"/>
      <c r="D8" s="29">
        <f>_XLL.ЭФФЕКТ($E$5,B8)*100</f>
        <v>19.561817146153395</v>
      </c>
      <c r="E8" s="28"/>
    </row>
    <row r="9" spans="1:5" ht="12.75">
      <c r="A9" s="18"/>
      <c r="B9" s="19">
        <v>4</v>
      </c>
      <c r="C9" s="18"/>
      <c r="D9" s="29">
        <f>_XLL.ЭФФЕКТ($E$5,B9)*100</f>
        <v>19.251860062499972</v>
      </c>
      <c r="E9" s="28"/>
    </row>
    <row r="10" spans="1:5" ht="12.75">
      <c r="A10" s="18"/>
      <c r="B10" s="19">
        <v>2</v>
      </c>
      <c r="C10" s="18"/>
      <c r="D10" s="29">
        <f>_XLL.ЭФФЕКТ($E$5,B10)*100</f>
        <v>18.810000000000016</v>
      </c>
      <c r="E10" s="28"/>
    </row>
    <row r="11" spans="1:5" ht="12.75">
      <c r="A11" s="25"/>
      <c r="B11" s="26">
        <v>1</v>
      </c>
      <c r="C11" s="25"/>
      <c r="D11" s="29">
        <f>_XLL.ЭФФЕКТ($E$5,B11)*100</f>
        <v>17.999999999999993</v>
      </c>
      <c r="E11" s="27"/>
    </row>
    <row r="12" spans="1:6" ht="13.5" thickBot="1">
      <c r="A12" s="31"/>
      <c r="B12" s="31"/>
      <c r="C12" s="31"/>
      <c r="D12" s="31"/>
      <c r="E12" s="31"/>
      <c r="F12" s="31"/>
    </row>
    <row r="14" spans="1:5" ht="12.75">
      <c r="A14" s="18" t="s">
        <v>123</v>
      </c>
      <c r="B14" s="19"/>
      <c r="C14" s="19"/>
      <c r="D14" s="19"/>
      <c r="E14" s="30">
        <v>19.561817</v>
      </c>
    </row>
    <row r="15" spans="1:5" ht="12.75">
      <c r="A15" t="s">
        <v>122</v>
      </c>
      <c r="E15" s="22">
        <f>E14/100</f>
        <v>0.19561817</v>
      </c>
    </row>
    <row r="17" spans="1:5" ht="12.75">
      <c r="A17" s="18" t="s">
        <v>120</v>
      </c>
      <c r="B17" s="19"/>
      <c r="C17" s="18" t="s">
        <v>125</v>
      </c>
      <c r="D17" s="19"/>
      <c r="E17" s="28"/>
    </row>
    <row r="18" spans="1:5" ht="12.75">
      <c r="A18" s="18"/>
      <c r="B18" s="19">
        <v>12</v>
      </c>
      <c r="C18" s="18"/>
      <c r="D18" s="29">
        <f>_XLL.НОМИНАЛ($E$15,B18)</f>
        <v>0.17999999875925532</v>
      </c>
      <c r="E18" s="28"/>
    </row>
    <row r="19" spans="1:5" ht="12.75">
      <c r="A19" s="18"/>
      <c r="B19" s="19">
        <v>4</v>
      </c>
      <c r="C19" s="18"/>
      <c r="D19" s="29">
        <f>_XLL.НОМИНАЛ($E$15,B19)</f>
        <v>0.18271349872175247</v>
      </c>
      <c r="E19" s="28"/>
    </row>
    <row r="20" spans="1:5" ht="12.75">
      <c r="A20" s="18"/>
      <c r="B20" s="19">
        <v>2</v>
      </c>
      <c r="C20" s="18"/>
      <c r="D20" s="29">
        <f>_XLL.НОМИНАЛ($E$15,B20)</f>
        <v>0.18688652654864546</v>
      </c>
      <c r="E20" s="28"/>
    </row>
    <row r="21" spans="1:5" ht="12.75">
      <c r="A21" s="25"/>
      <c r="B21" s="26">
        <v>1</v>
      </c>
      <c r="C21" s="25"/>
      <c r="D21" s="29">
        <f>_XLL.НОМИНАЛ($E$15,B21)</f>
        <v>0.19561816999999992</v>
      </c>
      <c r="E21" s="27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7"/>
  <dimension ref="A1:H22"/>
  <sheetViews>
    <sheetView workbookViewId="0" topLeftCell="A1">
      <selection activeCell="A1" sqref="A1"/>
    </sheetView>
  </sheetViews>
  <sheetFormatPr defaultColWidth="9.00390625" defaultRowHeight="12.75"/>
  <cols>
    <col min="1" max="1" width="24.125" style="0" customWidth="1"/>
    <col min="4" max="4" width="11.625" style="0" bestFit="1" customWidth="1"/>
    <col min="5" max="5" width="2.75390625" style="0" customWidth="1"/>
    <col min="6" max="6" width="12.875" style="0" customWidth="1"/>
    <col min="7" max="7" width="13.00390625" style="0" customWidth="1"/>
  </cols>
  <sheetData>
    <row r="1" ht="12.75">
      <c r="A1" t="s">
        <v>50</v>
      </c>
    </row>
    <row r="2" ht="15">
      <c r="A2" s="7" t="s">
        <v>118</v>
      </c>
    </row>
    <row r="3" ht="12.75">
      <c r="A3" t="s">
        <v>127</v>
      </c>
    </row>
    <row r="4" ht="12.75">
      <c r="A4" t="s">
        <v>128</v>
      </c>
    </row>
    <row r="6" spans="1:4" ht="12.75">
      <c r="A6" s="2" t="s">
        <v>31</v>
      </c>
      <c r="B6" s="3" t="s">
        <v>34</v>
      </c>
      <c r="C6" s="2" t="s">
        <v>13</v>
      </c>
      <c r="D6" s="8">
        <v>18</v>
      </c>
    </row>
    <row r="7" spans="1:4" ht="12.75">
      <c r="A7" s="2" t="s">
        <v>32</v>
      </c>
      <c r="B7" s="3" t="s">
        <v>36</v>
      </c>
      <c r="C7" s="2"/>
      <c r="D7" s="8">
        <v>4</v>
      </c>
    </row>
    <row r="8" ht="12.75">
      <c r="B8" s="6"/>
    </row>
    <row r="9" spans="1:7" ht="12.75">
      <c r="A9" t="s">
        <v>37</v>
      </c>
      <c r="B9" s="6"/>
      <c r="D9" s="21">
        <f>POWER(1+D6/100/D7,D7)-1</f>
        <v>0.19251860062499948</v>
      </c>
      <c r="E9" t="s">
        <v>38</v>
      </c>
      <c r="F9" s="21">
        <f>D9*100</f>
        <v>19.251860062499947</v>
      </c>
      <c r="G9" t="s">
        <v>13</v>
      </c>
    </row>
    <row r="10" ht="12.75">
      <c r="B10" s="6"/>
    </row>
    <row r="11" spans="1:2" ht="12.75">
      <c r="A11" t="s">
        <v>39</v>
      </c>
      <c r="B11" s="6"/>
    </row>
    <row r="12" spans="1:4" ht="12.75">
      <c r="A12" s="2" t="s">
        <v>17</v>
      </c>
      <c r="B12" s="3" t="s">
        <v>36</v>
      </c>
      <c r="C12" s="2" t="s">
        <v>4</v>
      </c>
      <c r="D12" s="8">
        <v>80</v>
      </c>
    </row>
    <row r="13" spans="1:8" ht="12.75">
      <c r="A13" s="2" t="s">
        <v>40</v>
      </c>
      <c r="B13" s="3" t="s">
        <v>12</v>
      </c>
      <c r="C13" s="2" t="s">
        <v>13</v>
      </c>
      <c r="D13" s="32">
        <f>F9</f>
        <v>19.251860062499947</v>
      </c>
      <c r="G13" s="22">
        <f>D12*POWER(1+D13/100,D14)</f>
        <v>113.76804902692855</v>
      </c>
      <c r="H13" t="s">
        <v>4</v>
      </c>
    </row>
    <row r="14" spans="1:4" ht="12.75">
      <c r="A14" s="2" t="s">
        <v>10</v>
      </c>
      <c r="B14" s="3" t="s">
        <v>6</v>
      </c>
      <c r="C14" s="2" t="s">
        <v>15</v>
      </c>
      <c r="D14" s="8">
        <v>2</v>
      </c>
    </row>
    <row r="15" ht="12.75">
      <c r="B15" s="6"/>
    </row>
    <row r="16" spans="1:2" ht="12.75">
      <c r="A16" t="s">
        <v>41</v>
      </c>
      <c r="B16" s="6"/>
    </row>
    <row r="17" spans="1:4" ht="12.75">
      <c r="A17" s="2" t="s">
        <v>17</v>
      </c>
      <c r="B17" s="3" t="s">
        <v>36</v>
      </c>
      <c r="C17" s="2" t="s">
        <v>4</v>
      </c>
      <c r="D17" s="8">
        <v>80</v>
      </c>
    </row>
    <row r="18" spans="1:8" ht="12.75">
      <c r="A18" s="2" t="s">
        <v>40</v>
      </c>
      <c r="B18" s="3" t="s">
        <v>34</v>
      </c>
      <c r="C18" s="2" t="s">
        <v>13</v>
      </c>
      <c r="D18" s="8">
        <v>18</v>
      </c>
      <c r="G18" s="22">
        <f>D17*POWER(1+D18/100/D20,D19*D20)</f>
        <v>113.76804902692855</v>
      </c>
      <c r="H18" t="s">
        <v>4</v>
      </c>
    </row>
    <row r="19" spans="1:4" ht="12.75">
      <c r="A19" s="2" t="s">
        <v>10</v>
      </c>
      <c r="B19" s="3" t="s">
        <v>6</v>
      </c>
      <c r="C19" s="2" t="s">
        <v>15</v>
      </c>
      <c r="D19" s="8">
        <v>2</v>
      </c>
    </row>
    <row r="20" spans="1:4" ht="12.75">
      <c r="A20" s="2" t="s">
        <v>32</v>
      </c>
      <c r="B20" s="3" t="s">
        <v>36</v>
      </c>
      <c r="C20" s="2"/>
      <c r="D20" s="8">
        <v>4</v>
      </c>
    </row>
    <row r="21" spans="6:7" ht="12.75">
      <c r="F21" s="5"/>
      <c r="G21" s="6"/>
    </row>
    <row r="22" ht="12.75">
      <c r="A22" t="s">
        <v>129</v>
      </c>
    </row>
  </sheetData>
  <printOptions/>
  <pageMargins left="0.75" right="0.75" top="1" bottom="1" header="0.5" footer="0.5"/>
  <pageSetup orientation="portrait" paperSize="9"/>
  <legacyDrawing r:id="rId4"/>
  <oleObjects>
    <oleObject progId="Equation.3" shapeId="153360" r:id="rId1"/>
    <oleObject progId="Equation.3" shapeId="180135" r:id="rId2"/>
    <oleObject progId="Equation.3" shapeId="191177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DAG Technologies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Дубина А.Г.</dc:creator>
  <cp:keywords/>
  <dc:description/>
  <cp:lastModifiedBy>nata_gus</cp:lastModifiedBy>
  <dcterms:created xsi:type="dcterms:W3CDTF">2000-03-17T16:38:07Z</dcterms:created>
  <dcterms:modified xsi:type="dcterms:W3CDTF">2008-03-14T10:49:44Z</dcterms:modified>
  <cp:category/>
  <cp:version/>
  <cp:contentType/>
  <cp:contentStatus/>
</cp:coreProperties>
</file>